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drawings/drawing2.xml" ContentType="application/vnd.openxmlformats-officedocument.drawing+xml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embeddings/oleObject7.bin" ContentType="application/vnd.openxmlformats-officedocument.oleObject"/>
  <Override PartName="/xl/embeddings/oleObject8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wsdot-my.sharepoint.com/personal/willisr_wsdot_wa_gov/Documents/Desktop/HydraulicsHydrologyWebpage/TemplatesSpreadsheetsDocuments/"/>
    </mc:Choice>
  </mc:AlternateContent>
  <xr:revisionPtr revIDLastSave="3" documentId="8_{67415EFC-29C1-4A9D-BBD9-B6F4CF77A52A}" xr6:coauthVersionLast="47" xr6:coauthVersionMax="47" xr10:uidLastSave="{7FD03D0C-2309-465A-B5E7-9C11836F6EDB}"/>
  <bookViews>
    <workbookView xWindow="-120" yWindow="-120" windowWidth="29040" windowHeight="15720" tabRatio="834" xr2:uid="{C74F6A24-C71A-4D29-AFA3-52E8C0905B5C}"/>
  </bookViews>
  <sheets>
    <sheet name="Instructions" sheetId="10" r:id="rId1"/>
    <sheet name="BasicBioswale and CABS_TEMPLATE" sheetId="9" r:id="rId2"/>
    <sheet name="WetBioswale_TEMPLATE" sheetId="22" r:id="rId3"/>
    <sheet name="Tables" sheetId="2" state="hidden" r:id="rId4"/>
  </sheets>
  <externalReferences>
    <externalReference r:id="rId5"/>
    <externalReference r:id="rId6"/>
  </externalReferences>
  <definedNames>
    <definedName name="fplot">[1]Tables!$A$3:$A$5</definedName>
    <definedName name="onlineoffline" localSheetId="0">[2]Tables!$D$2:$D$3</definedName>
    <definedName name="onlineoffline">Tables!$D$2:$D$3</definedName>
    <definedName name="_xlnm.Print_Area" localSheetId="1">'BasicBioswale and CABS_TEMPLATE'!$A$1:$P$149</definedName>
    <definedName name="_xlnm.Print_Area" localSheetId="2">WetBioswale_TEMPLATE!$A$1:$N$140</definedName>
    <definedName name="SoilCover" localSheetId="0">[2]Tables!$A$3:$A$5</definedName>
    <definedName name="SoilCover">Tables!$A$3:$A$5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6" i="9" l="1"/>
  <c r="H16" i="9"/>
  <c r="B16" i="22"/>
  <c r="H16" i="22"/>
  <c r="C28" i="9"/>
  <c r="C52" i="9"/>
  <c r="C72" i="9"/>
  <c r="C30" i="22"/>
  <c r="C52" i="22"/>
  <c r="C26" i="22"/>
  <c r="B83" i="9"/>
  <c r="C132" i="9"/>
  <c r="E145" i="9"/>
  <c r="E144" i="9"/>
  <c r="G144" i="9"/>
  <c r="B85" i="9"/>
  <c r="B84" i="9"/>
  <c r="F14" i="22"/>
  <c r="B17" i="22"/>
  <c r="C17" i="22"/>
  <c r="C21" i="22"/>
  <c r="C48" i="22"/>
  <c r="D17" i="22"/>
  <c r="F19" i="22"/>
  <c r="C51" i="22"/>
  <c r="C71" i="22"/>
  <c r="C56" i="22"/>
  <c r="C49" i="22" s="1"/>
  <c r="C62" i="22"/>
  <c r="C74" i="22"/>
  <c r="C75" i="22"/>
  <c r="B82" i="22"/>
  <c r="C82" i="22"/>
  <c r="B116" i="22"/>
  <c r="H116" i="22"/>
  <c r="B117" i="22"/>
  <c r="H117" i="22"/>
  <c r="B118" i="22"/>
  <c r="F118" i="22"/>
  <c r="D129" i="22"/>
  <c r="H118" i="22"/>
  <c r="B119" i="22"/>
  <c r="E132" i="22"/>
  <c r="G132" i="22"/>
  <c r="E133" i="22"/>
  <c r="G133" i="22"/>
  <c r="E134" i="22"/>
  <c r="E135" i="22"/>
  <c r="E136" i="22"/>
  <c r="E137" i="22"/>
  <c r="E138" i="22"/>
  <c r="B138" i="22"/>
  <c r="F14" i="9"/>
  <c r="B17" i="9"/>
  <c r="C17" i="9"/>
  <c r="D17" i="9"/>
  <c r="C19" i="9"/>
  <c r="F19" i="9"/>
  <c r="C21" i="9"/>
  <c r="C48" i="9"/>
  <c r="C25" i="9"/>
  <c r="C51" i="9"/>
  <c r="C71" i="9"/>
  <c r="C56" i="9"/>
  <c r="C49" i="9"/>
  <c r="B63" i="9"/>
  <c r="C74" i="9"/>
  <c r="C75" i="9"/>
  <c r="C69" i="9"/>
  <c r="D117" i="9"/>
  <c r="B119" i="9"/>
  <c r="B121" i="9"/>
  <c r="D124" i="9"/>
  <c r="C125" i="9"/>
  <c r="C130" i="9"/>
  <c r="C131" i="9"/>
  <c r="C133" i="9"/>
  <c r="C128" i="9"/>
  <c r="C138" i="9"/>
  <c r="E143" i="9"/>
  <c r="G143" i="9"/>
  <c r="E147" i="9"/>
  <c r="B148" i="9"/>
  <c r="E148" i="9"/>
  <c r="C69" i="22"/>
  <c r="C72" i="22"/>
  <c r="D121" i="9"/>
  <c r="D125" i="9"/>
  <c r="C103" i="9"/>
  <c r="C68" i="9"/>
  <c r="C129" i="9"/>
  <c r="C135" i="9"/>
  <c r="C70" i="9"/>
  <c r="C78" i="9"/>
  <c r="C103" i="22"/>
  <c r="C68" i="22"/>
  <c r="C50" i="9"/>
  <c r="C58" i="9"/>
  <c r="C70" i="22"/>
  <c r="C78" i="22"/>
  <c r="E146" i="9"/>
  <c r="B105" i="22"/>
  <c r="C111" i="22"/>
  <c r="C105" i="22"/>
  <c r="C105" i="9"/>
  <c r="B105" i="9"/>
  <c r="C111" i="9"/>
  <c r="E142" i="9"/>
  <c r="G142" i="9"/>
  <c r="C50" i="22" l="1"/>
  <c r="C58" i="22"/>
</calcChain>
</file>

<file path=xl/sharedStrings.xml><?xml version="1.0" encoding="utf-8"?>
<sst xmlns="http://schemas.openxmlformats.org/spreadsheetml/2006/main" count="307" uniqueCount="147">
  <si>
    <t>Usage Instructions:</t>
  </si>
  <si>
    <t>BMP RT.04 Biofiltration Swale and BMP RT.05 Wet Biofiltration Swale of the WSDOT 2014 Highway Runoff Manual should be consulted during the design.  Please contact Alex Nguyen at nguyeal@wsdot.wa.gov for questions/comments regarding this spreadsheet.</t>
  </si>
  <si>
    <t>This spreadsheet was designed for trapezoidal channels only.</t>
  </si>
  <si>
    <t xml:space="preserve">This spreadsheet contains blank template tabs that can be copied for each BMP design.  The spreadsheet works for both eastern WA and western WA designs.  </t>
  </si>
  <si>
    <t>RT.04  - Basic Biofiltration Swale and Compost Amended Biofiltration Swale</t>
  </si>
  <si>
    <t>Project:</t>
  </si>
  <si>
    <t>Designed By:</t>
  </si>
  <si>
    <t>Description:</t>
  </si>
  <si>
    <t>Checked By:</t>
  </si>
  <si>
    <t>BASIC BIOSWALE AND COMPOST AMENDED BIOSWALE SPREADSHEET VERSION 2.1</t>
  </si>
  <si>
    <t xml:space="preserve">Design Steps </t>
  </si>
  <si>
    <t>D-1</t>
  </si>
  <si>
    <r>
      <t>Determine runoff treatment design flow rate Q</t>
    </r>
    <r>
      <rPr>
        <b/>
        <vertAlign val="subscript"/>
        <sz val="10"/>
        <rFont val="Arial"/>
        <family val="2"/>
      </rPr>
      <t>wq</t>
    </r>
  </si>
  <si>
    <r>
      <t>Q</t>
    </r>
    <r>
      <rPr>
        <vertAlign val="subscript"/>
        <sz val="10"/>
        <rFont val="Arial"/>
        <family val="2"/>
      </rPr>
      <t>wq</t>
    </r>
  </si>
  <si>
    <t>Runoff treatment design flow rate from MGS Flood OR SBUH; MGSFlood reports</t>
  </si>
  <si>
    <t>an online and offline flow rate, please enter the applicable design flow rate</t>
  </si>
  <si>
    <t>D-2</t>
  </si>
  <si>
    <r>
      <t>Determine the biofiltration design flow rate (Q</t>
    </r>
    <r>
      <rPr>
        <b/>
        <vertAlign val="subscript"/>
        <sz val="10"/>
        <rFont val="Arial"/>
        <family val="2"/>
      </rPr>
      <t>biofil</t>
    </r>
    <r>
      <rPr>
        <b/>
        <sz val="10"/>
        <rFont val="Arial"/>
        <family val="2"/>
      </rPr>
      <t>)</t>
    </r>
  </si>
  <si>
    <t>Is the bioswale in eastern WA?</t>
  </si>
  <si>
    <r>
      <t>Q</t>
    </r>
    <r>
      <rPr>
        <vertAlign val="subscript"/>
        <sz val="10"/>
        <rFont val="Arial"/>
        <family val="2"/>
      </rPr>
      <t>biofil</t>
    </r>
  </si>
  <si>
    <t>runoff treatment design flow rate</t>
  </si>
  <si>
    <t>D-3</t>
  </si>
  <si>
    <t>Determine the longitudinal slope of the proposed biofiltration swale (ft/ft)</t>
  </si>
  <si>
    <t>s</t>
  </si>
  <si>
    <t>ft/ft</t>
  </si>
  <si>
    <t>D-4</t>
  </si>
  <si>
    <t>Select a soil and vegetation cover suitable for the biofiltration swale</t>
  </si>
  <si>
    <t>soil/veg</t>
  </si>
  <si>
    <t xml:space="preserve"> &lt;--Use pull down box</t>
  </si>
  <si>
    <t>Manning's n=</t>
  </si>
  <si>
    <t>From HRM Table 5-3</t>
  </si>
  <si>
    <t>D-5</t>
  </si>
  <si>
    <t>Select the design depth of flow y (see HRM Table 5-4)</t>
  </si>
  <si>
    <t>y</t>
  </si>
  <si>
    <t>(ft) design depth of flow; for basic biofiltration swale and CABS = 4" max (0.33 ft max) for WQ event</t>
  </si>
  <si>
    <t>D-6</t>
  </si>
  <si>
    <t>Select a trapezoidal swale cross-sectional shape.</t>
  </si>
  <si>
    <t>D-7</t>
  </si>
  <si>
    <t>Use Manning's Eq and first approximations relating hydraulic radius and dimensions to get width for trapezoidal cross section</t>
  </si>
  <si>
    <t>&lt;--manning's changed</t>
  </si>
  <si>
    <t>HRM Chapter 5 Equation E-11</t>
  </si>
  <si>
    <t>Use Excel Solver</t>
  </si>
  <si>
    <t>D-7a</t>
  </si>
  <si>
    <r>
      <t>Q</t>
    </r>
    <r>
      <rPr>
        <vertAlign val="subscript"/>
        <sz val="10"/>
        <rFont val="Arial"/>
        <family val="2"/>
      </rPr>
      <t xml:space="preserve">biofil </t>
    </r>
  </si>
  <si>
    <t>cfs - runoff treatment design flow rate</t>
  </si>
  <si>
    <t>A</t>
  </si>
  <si>
    <t>ft2 - wetted area</t>
  </si>
  <si>
    <t>R</t>
  </si>
  <si>
    <t>ft - hydraulic radius</t>
  </si>
  <si>
    <t>ft/ft longitudinal slope of swale</t>
  </si>
  <si>
    <t>n</t>
  </si>
  <si>
    <t>Manning's coefficient</t>
  </si>
  <si>
    <t>b</t>
  </si>
  <si>
    <t>ft - bioswale bottom width</t>
  </si>
  <si>
    <r>
      <t>z</t>
    </r>
    <r>
      <rPr>
        <vertAlign val="subscript"/>
        <sz val="10"/>
        <rFont val="Arial"/>
        <family val="2"/>
      </rPr>
      <t>foreslope</t>
    </r>
  </si>
  <si>
    <t>horizontal number of bioswale slope i.e. 1V:3H, z=3 in this instance</t>
  </si>
  <si>
    <r>
      <t>z</t>
    </r>
    <r>
      <rPr>
        <vertAlign val="subscript"/>
        <sz val="10"/>
        <rFont val="Arial"/>
        <family val="2"/>
      </rPr>
      <t>backslope</t>
    </r>
  </si>
  <si>
    <t>ft - design depth flow = maximum depth of flow</t>
  </si>
  <si>
    <r>
      <t>cfs - use goal seek under "What-If Analysis" in the "DATA" menu to set this cell equal to Q</t>
    </r>
    <r>
      <rPr>
        <vertAlign val="subscript"/>
        <sz val="10"/>
        <rFont val="Arial"/>
        <family val="2"/>
      </rPr>
      <t>biofil</t>
    </r>
    <r>
      <rPr>
        <sz val="10"/>
        <rFont val="Arial"/>
      </rPr>
      <t xml:space="preserve"> above changing the "b" value</t>
    </r>
  </si>
  <si>
    <t>Note:  Depth of flow for basic biofiltration swale and CABS = 4" max (0.33 ft max) for WQ event</t>
  </si>
  <si>
    <t>D-7b</t>
  </si>
  <si>
    <t>If the swale calculations above give a swale width less than 2 feet wide, re-run calculations with 2 foot wide swale, solve for depth y</t>
  </si>
  <si>
    <t>Or if redesigning swale with different dimensions, use below calculator and use Excel Goal Seek to determine new depth of flow.</t>
  </si>
  <si>
    <t>ft - enter new bottom width if applicable (2 foot is minimum)</t>
  </si>
  <si>
    <t>ft - design depth flow</t>
  </si>
  <si>
    <r>
      <t>cfs - use goal seek under "What-If Analysis" in the "DATA" menu to set this cell equal to Q</t>
    </r>
    <r>
      <rPr>
        <vertAlign val="subscript"/>
        <sz val="10"/>
        <rFont val="Arial"/>
        <family val="2"/>
      </rPr>
      <t>biofil</t>
    </r>
    <r>
      <rPr>
        <sz val="10"/>
        <rFont val="Arial"/>
      </rPr>
      <t xml:space="preserve"> above changing the "y" value</t>
    </r>
  </si>
  <si>
    <t>D-8</t>
  </si>
  <si>
    <t>Enter Final Bioswale Dimensions from the calculations in Step D-7a or D-7b</t>
  </si>
  <si>
    <t>Enter Final Swale Area</t>
  </si>
  <si>
    <t>ft2 - Wetted Area</t>
  </si>
  <si>
    <t>Enter Final Swale R</t>
  </si>
  <si>
    <t>Enter Final Swale slope  s</t>
  </si>
  <si>
    <t>Enter Final Swale n</t>
  </si>
  <si>
    <t>Enter Final Swale bottom width b</t>
  </si>
  <si>
    <t>ft - swale bottom width</t>
  </si>
  <si>
    <r>
      <t>Enter Final Swale z</t>
    </r>
    <r>
      <rPr>
        <vertAlign val="subscript"/>
        <sz val="10"/>
        <rFont val="Arial"/>
        <family val="2"/>
      </rPr>
      <t>foreslope</t>
    </r>
  </si>
  <si>
    <r>
      <t>Enter Final Swale z</t>
    </r>
    <r>
      <rPr>
        <vertAlign val="subscript"/>
        <sz val="10"/>
        <rFont val="Arial"/>
        <family val="2"/>
      </rPr>
      <t>backslope</t>
    </r>
  </si>
  <si>
    <t>Enter Final Swale flow depth y</t>
  </si>
  <si>
    <t>D-9</t>
  </si>
  <si>
    <r>
      <t>Computer the flow velocity at Q</t>
    </r>
    <r>
      <rPr>
        <b/>
        <vertAlign val="subscript"/>
        <sz val="10"/>
        <rFont val="Arial"/>
        <family val="2"/>
      </rPr>
      <t>biofil</t>
    </r>
  </si>
  <si>
    <t>HRM Chapter 5 Equation E-12</t>
  </si>
  <si>
    <r>
      <t>V</t>
    </r>
    <r>
      <rPr>
        <vertAlign val="subscript"/>
        <sz val="10"/>
        <rFont val="Arial"/>
        <family val="2"/>
      </rPr>
      <t>biofil</t>
    </r>
  </si>
  <si>
    <t>ft/sec - flow velocity; 1 ft/sec maximum</t>
  </si>
  <si>
    <t>D-10</t>
  </si>
  <si>
    <t>Compute Swale Length L (ft)</t>
  </si>
  <si>
    <t>t</t>
  </si>
  <si>
    <t>seconds - 9 minutes (540 seconds) for CABS, Basic, and Wet bioswale</t>
  </si>
  <si>
    <t>L</t>
  </si>
  <si>
    <t>ft - required length of bioswale; If swale is less than 100 feet, make swale have narrower bottom width (2 foot minimum)</t>
  </si>
  <si>
    <t>and repeat Steps D-7 - D-10 and recalculate to get length over 100 feet or keep swale bottom width make swale length 100 feet minimum</t>
  </si>
  <si>
    <t>D-11</t>
  </si>
  <si>
    <t>Does the bioswale need to be redesigned to fit within the provided right of way?</t>
  </si>
  <si>
    <t>FC-1</t>
  </si>
  <si>
    <r>
      <t>Q</t>
    </r>
    <r>
      <rPr>
        <vertAlign val="subscript"/>
        <sz val="10"/>
        <rFont val="Arial"/>
        <family val="2"/>
      </rPr>
      <t>convey</t>
    </r>
  </si>
  <si>
    <t>FC-2</t>
  </si>
  <si>
    <t>(lowest possible Manning's from HRM)</t>
  </si>
  <si>
    <t>FC-3</t>
  </si>
  <si>
    <t>depth y</t>
  </si>
  <si>
    <t>S</t>
  </si>
  <si>
    <r>
      <t>cfs - use goal seek under "What-If Analysis" in the "DATA" menu to set this cell equal to Q</t>
    </r>
    <r>
      <rPr>
        <vertAlign val="subscript"/>
        <sz val="10"/>
        <rFont val="Arial"/>
        <family val="2"/>
      </rPr>
      <t>convey</t>
    </r>
    <r>
      <rPr>
        <sz val="10"/>
        <rFont val="Arial"/>
      </rPr>
      <t xml:space="preserve"> above changing the "y" value</t>
    </r>
  </si>
  <si>
    <t>FC-4</t>
  </si>
  <si>
    <r>
      <t>D</t>
    </r>
    <r>
      <rPr>
        <vertAlign val="subscript"/>
        <sz val="10"/>
        <rFont val="Arial"/>
        <family val="2"/>
      </rPr>
      <t>(total)</t>
    </r>
  </si>
  <si>
    <t>ft, total required swale depth. Does not take into account design standards for minimum ditch depth from the Design Manual (roadway sections)</t>
  </si>
  <si>
    <t>Final Swale Dimensions</t>
  </si>
  <si>
    <t>Swale Length</t>
  </si>
  <si>
    <t>ft</t>
  </si>
  <si>
    <t>Bottom Width</t>
  </si>
  <si>
    <t>Swale Longitudinal Slope</t>
  </si>
  <si>
    <r>
      <rPr>
        <b/>
        <sz val="14"/>
        <rFont val="Arial"/>
        <family val="2"/>
      </rPr>
      <t>z</t>
    </r>
    <r>
      <rPr>
        <b/>
        <vertAlign val="subscript"/>
        <sz val="11"/>
        <rFont val="Arial"/>
        <family val="2"/>
      </rPr>
      <t>foreslope</t>
    </r>
  </si>
  <si>
    <r>
      <rPr>
        <b/>
        <sz val="14"/>
        <rFont val="Arial"/>
        <family val="2"/>
      </rPr>
      <t>z</t>
    </r>
    <r>
      <rPr>
        <b/>
        <vertAlign val="subscript"/>
        <sz val="11"/>
        <rFont val="Arial"/>
        <family val="2"/>
      </rPr>
      <t>backslope</t>
    </r>
  </si>
  <si>
    <t>WQ Depth</t>
  </si>
  <si>
    <t>RT.05 - Wet Biofiltration Swale</t>
  </si>
  <si>
    <t>WET BIOSWALE SPREADSHEET VERSION 2.1</t>
  </si>
  <si>
    <r>
      <t>Determine the wet biofiltration design flow rate (Q</t>
    </r>
    <r>
      <rPr>
        <b/>
        <vertAlign val="subscript"/>
        <sz val="10"/>
        <rFont val="Arial"/>
        <family val="2"/>
      </rPr>
      <t>biofil</t>
    </r>
    <r>
      <rPr>
        <b/>
        <sz val="10"/>
        <rFont val="Arial"/>
        <family val="2"/>
      </rPr>
      <t>)</t>
    </r>
  </si>
  <si>
    <t>Is the wet bioswale in eastern WA?</t>
  </si>
  <si>
    <t>Wet biofiltration swales are offline -------&gt;</t>
  </si>
  <si>
    <t>offline</t>
  </si>
  <si>
    <t>Determine the longitudinal slope of the proposed wet biofiltration swale (ft/ft)</t>
  </si>
  <si>
    <t>Select a soil and vegetation cover suitable for the wet biofiltration swale</t>
  </si>
  <si>
    <t>(ft) design depth of flow; wet biofiltration swales depth of flow = 4" (0.33 ft) for WQ event</t>
  </si>
  <si>
    <t>ft; wet bioswale bottom width</t>
  </si>
  <si>
    <t>ft - enter new wet bioswale bottom width if applicable (2 foot is minimum)</t>
  </si>
  <si>
    <t xml:space="preserve">ft - required length of bioswale; If swale is less than 100 feet, make swale have narrower </t>
  </si>
  <si>
    <t xml:space="preserve">bottom width (2 foot minimum) and repeat Steps D-7 - D-10 and recalculate to get length over </t>
  </si>
  <si>
    <t>100 feet or keep swale bottom width make swale length 100 feet minimum</t>
  </si>
  <si>
    <t>Extended Wet Season Adjustment for Western Washington designs only</t>
  </si>
  <si>
    <t>D-12</t>
  </si>
  <si>
    <t>Revise Wet Bioswale Dimensions to meet minimums and for construction</t>
  </si>
  <si>
    <t>Is the wet bioswale length at least 100 feet?  If not, increase swale length to 100 feet.</t>
  </si>
  <si>
    <t>Is the wet bioswale bottom width a constructible width?</t>
  </si>
  <si>
    <t>Do no recalculate the wet bioswale depth of flow or velocity if the wet bioswale has the extended wet season adjustment.</t>
  </si>
  <si>
    <t>Enter Final Adjusted Wet Bioswale Dimensions</t>
  </si>
  <si>
    <t>Enter Final Swale length</t>
  </si>
  <si>
    <t>ft - swale bottom length</t>
  </si>
  <si>
    <t>Final Wet Bioswale Dimensions</t>
  </si>
  <si>
    <t>Wet Bioswale Length</t>
  </si>
  <si>
    <t>Wet Bioswale Bottom Width</t>
  </si>
  <si>
    <t>2014 HRM Table 5-3 Flow resistance coefficent in basic, wet, and continuous inflow biofiltration swales</t>
  </si>
  <si>
    <t>Soil and Cover</t>
  </si>
  <si>
    <t>Manning's Coefficient</t>
  </si>
  <si>
    <t>online</t>
  </si>
  <si>
    <t>Grass-legume mix on compacted native soil</t>
  </si>
  <si>
    <t>Grass-legume mix on lightly compacted topsoil</t>
  </si>
  <si>
    <t>Grass-legume mix on lightly compacted topsoil with 3-inch medium compost blanket (CABS)</t>
  </si>
  <si>
    <r>
      <t>1</t>
    </r>
    <r>
      <rPr>
        <sz val="9"/>
        <rFont val="Times New Roman"/>
        <family val="1"/>
      </rPr>
      <t xml:space="preserve"> Specify that topsoil extends to at least an 8-inch depth per Figure 5-11.</t>
    </r>
  </si>
  <si>
    <t xml:space="preserve">2 For information on compost-amended soils, refer to Section 5-4.3.2.  (Note that swales do not require a mulch layer </t>
  </si>
  <si>
    <t>and that compost amendments shall be a 3-inch-thick medium compost blanket over the topsoil.)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</si>
</sst>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"/>
    <numFmt numFmtId="165" formatCode="0.00000"/>
    <numFmt numFmtId="166" formatCode="0.0"/>
    <numFmt numFmtId="167" formatCode="0.000000000000000"/>
  </numFmts>
  <fonts count="17" x14ac:knownFonts="1">
    <font>
      <sz val="10"/>
      <name val="Arial"/>
    </font>
    <font>
      <sz val="10"/>
      <name val="Arial"/>
    </font>
    <font>
      <vertAlign val="subscript"/>
      <sz val="10"/>
      <name val="Arial"/>
      <family val="2"/>
    </font>
    <font>
      <b/>
      <sz val="10"/>
      <name val="Arial"/>
      <family val="2"/>
    </font>
    <font>
      <b/>
      <vertAlign val="subscript"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b/>
      <u/>
      <sz val="12"/>
      <name val="Arial"/>
      <family val="2"/>
    </font>
    <font>
      <b/>
      <sz val="11"/>
      <name val="Arial"/>
      <family val="2"/>
    </font>
    <font>
      <b/>
      <vertAlign val="subscript"/>
      <sz val="11"/>
      <name val="Arial"/>
      <family val="2"/>
    </font>
    <font>
      <b/>
      <sz val="14"/>
      <name val="Arial"/>
      <family val="2"/>
    </font>
    <font>
      <sz val="9"/>
      <name val="Times New Roman"/>
      <family val="1"/>
    </font>
    <font>
      <vertAlign val="superscript"/>
      <sz val="9"/>
      <name val="Times New Roman"/>
      <family val="1"/>
    </font>
    <font>
      <b/>
      <i/>
      <sz val="1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6" fillId="0" borderId="0"/>
  </cellStyleXfs>
  <cellXfs count="106">
    <xf numFmtId="0" fontId="0" fillId="0" borderId="0" xfId="0"/>
    <xf numFmtId="0" fontId="3" fillId="0" borderId="0" xfId="0" applyFont="1"/>
    <xf numFmtId="0" fontId="6" fillId="0" borderId="0" xfId="0" applyFont="1"/>
    <xf numFmtId="0" fontId="0" fillId="0" borderId="0" xfId="0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6" fillId="0" borderId="1" xfId="0" applyFont="1" applyBorder="1"/>
    <xf numFmtId="0" fontId="6" fillId="0" borderId="1" xfId="0" applyFont="1" applyBorder="1" applyAlignment="1">
      <alignment wrapText="1"/>
    </xf>
    <xf numFmtId="0" fontId="13" fillId="0" borderId="0" xfId="0" applyFont="1" applyAlignment="1">
      <alignment vertical="center"/>
    </xf>
    <xf numFmtId="0" fontId="3" fillId="0" borderId="0" xfId="0" applyFont="1" applyProtection="1">
      <protection locked="0"/>
    </xf>
    <xf numFmtId="0" fontId="6" fillId="0" borderId="0" xfId="0" applyFont="1" applyProtection="1">
      <protection locked="0"/>
    </xf>
    <xf numFmtId="164" fontId="0" fillId="0" borderId="0" xfId="0" applyNumberFormat="1" applyProtection="1">
      <protection locked="0"/>
    </xf>
    <xf numFmtId="0" fontId="0" fillId="0" borderId="0" xfId="0" applyProtection="1">
      <protection locked="0"/>
    </xf>
    <xf numFmtId="0" fontId="6" fillId="0" borderId="0" xfId="1" applyProtection="1">
      <protection locked="0"/>
    </xf>
    <xf numFmtId="0" fontId="6" fillId="0" borderId="0" xfId="1" applyAlignment="1" applyProtection="1">
      <alignment horizontal="left"/>
      <protection locked="0"/>
    </xf>
    <xf numFmtId="2" fontId="1" fillId="4" borderId="1" xfId="0" applyNumberFormat="1" applyFont="1" applyFill="1" applyBorder="1" applyProtection="1">
      <protection locked="0"/>
    </xf>
    <xf numFmtId="2" fontId="1" fillId="5" borderId="1" xfId="0" applyNumberFormat="1" applyFont="1" applyFill="1" applyBorder="1" applyProtection="1">
      <protection locked="0"/>
    </xf>
    <xf numFmtId="164" fontId="6" fillId="4" borderId="1" xfId="0" applyNumberFormat="1" applyFon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6" fillId="4" borderId="3" xfId="1" applyNumberFormat="1" applyFill="1" applyBorder="1" applyAlignment="1" applyProtection="1">
      <alignment horizontal="right"/>
      <protection locked="0"/>
    </xf>
    <xf numFmtId="2" fontId="6" fillId="4" borderId="4" xfId="1" applyNumberFormat="1" applyFill="1" applyBorder="1" applyAlignment="1" applyProtection="1">
      <alignment horizontal="right"/>
      <protection locked="0"/>
    </xf>
    <xf numFmtId="164" fontId="0" fillId="0" borderId="0" xfId="0" applyNumberFormat="1"/>
    <xf numFmtId="0" fontId="6" fillId="0" borderId="0" xfId="1"/>
    <xf numFmtId="0" fontId="6" fillId="0" borderId="0" xfId="1" applyAlignment="1">
      <alignment horizontal="left"/>
    </xf>
    <xf numFmtId="0" fontId="8" fillId="0" borderId="0" xfId="0" applyFont="1"/>
    <xf numFmtId="0" fontId="6" fillId="0" borderId="0" xfId="0" applyFont="1" applyAlignment="1">
      <alignment horizontal="right"/>
    </xf>
    <xf numFmtId="0" fontId="0" fillId="0" borderId="0" xfId="0" applyAlignment="1">
      <alignment horizontal="left"/>
    </xf>
    <xf numFmtId="0" fontId="0" fillId="0" borderId="5" xfId="0" applyBorder="1"/>
    <xf numFmtId="0" fontId="0" fillId="0" borderId="0" xfId="0" applyAlignment="1">
      <alignment horizontal="right"/>
    </xf>
    <xf numFmtId="2" fontId="0" fillId="0" borderId="0" xfId="0" applyNumberFormat="1"/>
    <xf numFmtId="2" fontId="0" fillId="0" borderId="0" xfId="0" applyNumberFormat="1" applyAlignment="1">
      <alignment horizontal="left" wrapText="1"/>
    </xf>
    <xf numFmtId="167" fontId="0" fillId="0" borderId="0" xfId="0" applyNumberFormat="1"/>
    <xf numFmtId="165" fontId="0" fillId="0" borderId="0" xfId="0" applyNumberFormat="1"/>
    <xf numFmtId="2" fontId="6" fillId="0" borderId="0" xfId="0" applyNumberFormat="1" applyFont="1"/>
    <xf numFmtId="164" fontId="0" fillId="2" borderId="1" xfId="0" applyNumberFormat="1" applyFill="1" applyBorder="1"/>
    <xf numFmtId="0" fontId="6" fillId="0" borderId="0" xfId="0" applyFont="1" applyAlignment="1">
      <alignment wrapText="1"/>
    </xf>
    <xf numFmtId="0" fontId="3" fillId="0" borderId="0" xfId="1" applyFont="1"/>
    <xf numFmtId="2" fontId="1" fillId="0" borderId="0" xfId="0" applyNumberFormat="1" applyFont="1"/>
    <xf numFmtId="164" fontId="6" fillId="0" borderId="0" xfId="0" applyNumberFormat="1" applyFont="1"/>
    <xf numFmtId="0" fontId="7" fillId="0" borderId="0" xfId="0" applyFont="1"/>
    <xf numFmtId="0" fontId="6" fillId="0" borderId="6" xfId="1" applyBorder="1"/>
    <xf numFmtId="0" fontId="6" fillId="0" borderId="7" xfId="1" applyBorder="1"/>
    <xf numFmtId="0" fontId="6" fillId="0" borderId="8" xfId="1" applyBorder="1"/>
    <xf numFmtId="0" fontId="0" fillId="3" borderId="1" xfId="0" applyFill="1" applyBorder="1" applyProtection="1">
      <protection locked="0"/>
    </xf>
    <xf numFmtId="0" fontId="6" fillId="3" borderId="1" xfId="0" applyFont="1" applyFill="1" applyBorder="1" applyProtection="1">
      <protection locked="0"/>
    </xf>
    <xf numFmtId="2" fontId="0" fillId="2" borderId="1" xfId="0" applyNumberFormat="1" applyFill="1" applyBorder="1"/>
    <xf numFmtId="2" fontId="6" fillId="4" borderId="1" xfId="0" applyNumberFormat="1" applyFont="1" applyFill="1" applyBorder="1"/>
    <xf numFmtId="2" fontId="1" fillId="3" borderId="1" xfId="0" applyNumberFormat="1" applyFont="1" applyFill="1" applyBorder="1" applyProtection="1">
      <protection locked="0"/>
    </xf>
    <xf numFmtId="164" fontId="6" fillId="3" borderId="1" xfId="0" applyNumberFormat="1" applyFont="1" applyFill="1" applyBorder="1" applyProtection="1">
      <protection locked="0"/>
    </xf>
    <xf numFmtId="164" fontId="0" fillId="3" borderId="1" xfId="0" applyNumberFormat="1" applyFill="1" applyBorder="1" applyProtection="1">
      <protection locked="0"/>
    </xf>
    <xf numFmtId="0" fontId="0" fillId="3" borderId="2" xfId="0" applyFill="1" applyBorder="1" applyProtection="1">
      <protection locked="0"/>
    </xf>
    <xf numFmtId="2" fontId="0" fillId="3" borderId="1" xfId="0" applyNumberFormat="1" applyFill="1" applyBorder="1" applyAlignment="1" applyProtection="1">
      <alignment horizontal="right"/>
      <protection locked="0"/>
    </xf>
    <xf numFmtId="2" fontId="0" fillId="5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right"/>
    </xf>
    <xf numFmtId="0" fontId="15" fillId="0" borderId="0" xfId="0" applyFont="1"/>
    <xf numFmtId="2" fontId="0" fillId="0" borderId="1" xfId="0" applyNumberFormat="1" applyBorder="1"/>
    <xf numFmtId="2" fontId="0" fillId="4" borderId="1" xfId="0" applyNumberFormat="1" applyFill="1" applyBorder="1"/>
    <xf numFmtId="0" fontId="16" fillId="0" borderId="0" xfId="0" applyFont="1" applyAlignment="1">
      <alignment horizontal="right"/>
    </xf>
    <xf numFmtId="0" fontId="14" fillId="0" borderId="0" xfId="0" applyFont="1"/>
    <xf numFmtId="2" fontId="6" fillId="4" borderId="3" xfId="1" applyNumberFormat="1" applyFill="1" applyBorder="1" applyAlignment="1">
      <alignment horizontal="right"/>
    </xf>
    <xf numFmtId="166" fontId="6" fillId="4" borderId="1" xfId="1" applyNumberFormat="1" applyFill="1" applyBorder="1" applyAlignment="1">
      <alignment horizontal="right"/>
    </xf>
    <xf numFmtId="164" fontId="6" fillId="4" borderId="1" xfId="1" applyNumberFormat="1" applyFill="1" applyBorder="1" applyAlignment="1">
      <alignment horizontal="right"/>
    </xf>
    <xf numFmtId="2" fontId="6" fillId="4" borderId="1" xfId="1" applyNumberFormat="1" applyFill="1" applyBorder="1" applyAlignment="1">
      <alignment horizontal="right"/>
    </xf>
    <xf numFmtId="2" fontId="6" fillId="4" borderId="4" xfId="1" applyNumberFormat="1" applyFill="1" applyBorder="1" applyAlignment="1">
      <alignment horizontal="right"/>
    </xf>
    <xf numFmtId="0" fontId="6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0" xfId="0" applyAlignment="1">
      <alignment wrapText="1"/>
    </xf>
    <xf numFmtId="0" fontId="6" fillId="0" borderId="0" xfId="0" applyFont="1" applyAlignment="1">
      <alignment horizontal="left" vertical="top" wrapText="1"/>
    </xf>
    <xf numFmtId="0" fontId="3" fillId="0" borderId="9" xfId="1" applyFont="1" applyBorder="1" applyAlignment="1">
      <alignment horizontal="right"/>
    </xf>
    <xf numFmtId="0" fontId="3" fillId="0" borderId="1" xfId="1" applyFont="1" applyBorder="1" applyAlignment="1">
      <alignment horizontal="right"/>
    </xf>
    <xf numFmtId="0" fontId="6" fillId="3" borderId="10" xfId="0" applyFont="1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0" fillId="3" borderId="12" xfId="0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3" fillId="0" borderId="0" xfId="0" applyFont="1" applyAlignment="1">
      <alignment wrapText="1"/>
    </xf>
    <xf numFmtId="0" fontId="0" fillId="0" borderId="0" xfId="0" applyAlignment="1">
      <alignment wrapText="1"/>
    </xf>
    <xf numFmtId="0" fontId="0" fillId="3" borderId="10" xfId="0" applyFill="1" applyBorder="1" applyAlignment="1" applyProtection="1">
      <alignment horizontal="center" wrapText="1"/>
      <protection locked="0"/>
    </xf>
    <xf numFmtId="0" fontId="0" fillId="3" borderId="11" xfId="0" applyFill="1" applyBorder="1" applyAlignment="1" applyProtection="1">
      <alignment horizontal="center" wrapText="1"/>
      <protection locked="0"/>
    </xf>
    <xf numFmtId="0" fontId="0" fillId="3" borderId="12" xfId="0" applyFill="1" applyBorder="1" applyAlignment="1" applyProtection="1">
      <alignment horizontal="center" wrapText="1"/>
      <protection locked="0"/>
    </xf>
    <xf numFmtId="0" fontId="0" fillId="0" borderId="0" xfId="0" applyAlignment="1">
      <alignment horizontal="left" vertical="top" wrapText="1"/>
    </xf>
    <xf numFmtId="0" fontId="3" fillId="0" borderId="15" xfId="1" applyFont="1" applyBorder="1" applyAlignment="1">
      <alignment horizontal="center"/>
    </xf>
    <xf numFmtId="0" fontId="3" fillId="0" borderId="16" xfId="1" applyFont="1" applyBorder="1" applyAlignment="1">
      <alignment horizontal="center"/>
    </xf>
    <xf numFmtId="0" fontId="3" fillId="0" borderId="17" xfId="1" applyFont="1" applyBorder="1" applyAlignment="1">
      <alignment horizontal="center"/>
    </xf>
    <xf numFmtId="0" fontId="3" fillId="0" borderId="18" xfId="1" applyFont="1" applyBorder="1" applyAlignment="1">
      <alignment horizontal="right"/>
    </xf>
    <xf numFmtId="0" fontId="3" fillId="0" borderId="3" xfId="1" applyFont="1" applyBorder="1" applyAlignment="1">
      <alignment horizontal="right"/>
    </xf>
    <xf numFmtId="0" fontId="3" fillId="0" borderId="13" xfId="0" applyFont="1" applyBorder="1" applyAlignment="1">
      <alignment horizontal="right"/>
    </xf>
    <xf numFmtId="0" fontId="3" fillId="0" borderId="11" xfId="0" applyFont="1" applyBorder="1" applyAlignment="1">
      <alignment horizontal="right"/>
    </xf>
    <xf numFmtId="0" fontId="3" fillId="0" borderId="12" xfId="0" applyFont="1" applyBorder="1" applyAlignment="1">
      <alignment horizontal="right"/>
    </xf>
    <xf numFmtId="0" fontId="9" fillId="0" borderId="9" xfId="1" applyFont="1" applyBorder="1" applyAlignment="1">
      <alignment horizontal="right"/>
    </xf>
    <xf numFmtId="0" fontId="9" fillId="0" borderId="1" xfId="1" applyFont="1" applyBorder="1" applyAlignment="1">
      <alignment horizontal="right"/>
    </xf>
    <xf numFmtId="0" fontId="3" fillId="0" borderId="14" xfId="1" applyFont="1" applyBorder="1" applyAlignment="1">
      <alignment horizontal="right"/>
    </xf>
    <xf numFmtId="0" fontId="3" fillId="0" borderId="4" xfId="1" applyFont="1" applyBorder="1" applyAlignment="1">
      <alignment horizontal="right"/>
    </xf>
    <xf numFmtId="0" fontId="6" fillId="3" borderId="12" xfId="0" applyFont="1" applyFill="1" applyBorder="1" applyAlignment="1" applyProtection="1">
      <alignment horizontal="center"/>
      <protection locked="0"/>
    </xf>
    <xf numFmtId="2" fontId="6" fillId="3" borderId="10" xfId="0" applyNumberFormat="1" applyFont="1" applyFill="1" applyBorder="1" applyAlignment="1" applyProtection="1">
      <alignment horizontal="right"/>
      <protection locked="0"/>
    </xf>
    <xf numFmtId="2" fontId="6" fillId="3" borderId="12" xfId="0" applyNumberFormat="1" applyFont="1" applyFill="1" applyBorder="1" applyAlignment="1" applyProtection="1">
      <alignment horizontal="right"/>
      <protection locked="0"/>
    </xf>
    <xf numFmtId="0" fontId="15" fillId="0" borderId="19" xfId="0" applyFont="1" applyBorder="1" applyAlignment="1">
      <alignment horizontal="left"/>
    </xf>
    <xf numFmtId="0" fontId="15" fillId="0" borderId="0" xfId="0" applyFont="1" applyAlignment="1">
      <alignment horizontal="left"/>
    </xf>
    <xf numFmtId="2" fontId="0" fillId="0" borderId="10" xfId="0" applyNumberFormat="1" applyBorder="1"/>
    <xf numFmtId="2" fontId="0" fillId="0" borderId="12" xfId="0" applyNumberFormat="1" applyBorder="1"/>
    <xf numFmtId="164" fontId="15" fillId="0" borderId="0" xfId="0" applyNumberFormat="1" applyFont="1" applyAlignment="1">
      <alignment horizontal="left" wrapText="1"/>
    </xf>
    <xf numFmtId="0" fontId="0" fillId="0" borderId="0" xfId="0" applyAlignment="1">
      <alignment horizontal="center"/>
    </xf>
  </cellXfs>
  <cellStyles count="2">
    <cellStyle name="Normal" xfId="0" builtinId="0"/>
    <cellStyle name="Normal 2" xfId="1" xr:uid="{CBED5D84-5248-4A26-BA27-27820D2DF9E4}"/>
  </cellStyles>
  <dxfs count="3">
    <dxf>
      <font>
        <color auto="1"/>
      </font>
      <fill>
        <patternFill patternType="none">
          <bgColor indexed="6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4" Type="http://schemas.openxmlformats.org/officeDocument/2006/relationships/image" Target="../media/image4.emf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581025</xdr:colOff>
          <xdr:row>37</xdr:row>
          <xdr:rowOff>57150</xdr:rowOff>
        </xdr:from>
        <xdr:to>
          <xdr:col>2</xdr:col>
          <xdr:colOff>1133475</xdr:colOff>
          <xdr:row>40</xdr:row>
          <xdr:rowOff>152400</xdr:rowOff>
        </xdr:to>
        <xdr:sp macro="" textlink="">
          <xdr:nvSpPr>
            <xdr:cNvPr id="10241" name="Object 1" hidden="1">
              <a:extLst>
                <a:ext uri="{63B3BB69-23CF-44E3-9099-C40C66FF867C}">
                  <a14:compatExt spid="_x0000_s10241"/>
                </a:ext>
                <a:ext uri="{FF2B5EF4-FFF2-40B4-BE49-F238E27FC236}">
                  <a16:creationId xmlns:a16="http://schemas.microsoft.com/office/drawing/2014/main" id="{00000000-0008-0000-0100-00000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476250</xdr:colOff>
          <xdr:row>37</xdr:row>
          <xdr:rowOff>123825</xdr:rowOff>
        </xdr:from>
        <xdr:to>
          <xdr:col>6</xdr:col>
          <xdr:colOff>247650</xdr:colOff>
          <xdr:row>40</xdr:row>
          <xdr:rowOff>142875</xdr:rowOff>
        </xdr:to>
        <xdr:sp macro="" textlink="">
          <xdr:nvSpPr>
            <xdr:cNvPr id="10242" name="Object 2" hidden="1">
              <a:extLst>
                <a:ext uri="{63B3BB69-23CF-44E3-9099-C40C66FF867C}">
                  <a14:compatExt spid="_x0000_s10242"/>
                </a:ext>
                <a:ext uri="{FF2B5EF4-FFF2-40B4-BE49-F238E27FC236}">
                  <a16:creationId xmlns:a16="http://schemas.microsoft.com/office/drawing/2014/main" id="{00000000-0008-0000-0100-00000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98</xdr:row>
          <xdr:rowOff>57150</xdr:rowOff>
        </xdr:from>
        <xdr:to>
          <xdr:col>2</xdr:col>
          <xdr:colOff>638175</xdr:colOff>
          <xdr:row>101</xdr:row>
          <xdr:rowOff>66675</xdr:rowOff>
        </xdr:to>
        <xdr:sp macro="" textlink="">
          <xdr:nvSpPr>
            <xdr:cNvPr id="10243" name="Object 3" hidden="1">
              <a:extLst>
                <a:ext uri="{63B3BB69-23CF-44E3-9099-C40C66FF867C}">
                  <a14:compatExt spid="_x0000_s10243"/>
                </a:ext>
                <a:ext uri="{FF2B5EF4-FFF2-40B4-BE49-F238E27FC236}">
                  <a16:creationId xmlns:a16="http://schemas.microsoft.com/office/drawing/2014/main" id="{00000000-0008-0000-0100-000003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</xdr:colOff>
          <xdr:row>107</xdr:row>
          <xdr:rowOff>0</xdr:rowOff>
        </xdr:from>
        <xdr:to>
          <xdr:col>2</xdr:col>
          <xdr:colOff>619125</xdr:colOff>
          <xdr:row>108</xdr:row>
          <xdr:rowOff>133350</xdr:rowOff>
        </xdr:to>
        <xdr:sp macro="" textlink="">
          <xdr:nvSpPr>
            <xdr:cNvPr id="10244" name="Object 4" hidden="1">
              <a:extLst>
                <a:ext uri="{63B3BB69-23CF-44E3-9099-C40C66FF867C}">
                  <a14:compatExt spid="_x0000_s10244"/>
                </a:ext>
                <a:ext uri="{FF2B5EF4-FFF2-40B4-BE49-F238E27FC236}">
                  <a16:creationId xmlns:a16="http://schemas.microsoft.com/office/drawing/2014/main" id="{00000000-0008-0000-0100-000004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40</xdr:row>
          <xdr:rowOff>57150</xdr:rowOff>
        </xdr:from>
        <xdr:to>
          <xdr:col>2</xdr:col>
          <xdr:colOff>514350</xdr:colOff>
          <xdr:row>43</xdr:row>
          <xdr:rowOff>114300</xdr:rowOff>
        </xdr:to>
        <xdr:sp macro="" textlink="">
          <xdr:nvSpPr>
            <xdr:cNvPr id="24577" name="Object 1" hidden="1">
              <a:extLst>
                <a:ext uri="{63B3BB69-23CF-44E3-9099-C40C66FF867C}">
                  <a14:compatExt spid="_x0000_s24577"/>
                </a:ext>
                <a:ext uri="{FF2B5EF4-FFF2-40B4-BE49-F238E27FC236}">
                  <a16:creationId xmlns:a16="http://schemas.microsoft.com/office/drawing/2014/main" id="{00000000-0008-0000-0200-000001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142875</xdr:colOff>
          <xdr:row>40</xdr:row>
          <xdr:rowOff>142875</xdr:rowOff>
        </xdr:from>
        <xdr:to>
          <xdr:col>6</xdr:col>
          <xdr:colOff>542925</xdr:colOff>
          <xdr:row>44</xdr:row>
          <xdr:rowOff>57150</xdr:rowOff>
        </xdr:to>
        <xdr:sp macro="" textlink="">
          <xdr:nvSpPr>
            <xdr:cNvPr id="24578" name="Object 2" hidden="1">
              <a:extLst>
                <a:ext uri="{63B3BB69-23CF-44E3-9099-C40C66FF867C}">
                  <a14:compatExt spid="_x0000_s24578"/>
                </a:ext>
                <a:ext uri="{FF2B5EF4-FFF2-40B4-BE49-F238E27FC236}">
                  <a16:creationId xmlns:a16="http://schemas.microsoft.com/office/drawing/2014/main" id="{00000000-0008-0000-0200-000002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98</xdr:row>
          <xdr:rowOff>0</xdr:rowOff>
        </xdr:from>
        <xdr:to>
          <xdr:col>2</xdr:col>
          <xdr:colOff>714375</xdr:colOff>
          <xdr:row>101</xdr:row>
          <xdr:rowOff>76200</xdr:rowOff>
        </xdr:to>
        <xdr:sp macro="" textlink="">
          <xdr:nvSpPr>
            <xdr:cNvPr id="24579" name="Object 3" hidden="1">
              <a:extLst>
                <a:ext uri="{63B3BB69-23CF-44E3-9099-C40C66FF867C}">
                  <a14:compatExt spid="_x0000_s24579"/>
                </a:ext>
                <a:ext uri="{FF2B5EF4-FFF2-40B4-BE49-F238E27FC236}">
                  <a16:creationId xmlns:a16="http://schemas.microsoft.com/office/drawing/2014/main" id="{00000000-0008-0000-0200-000003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107</xdr:row>
          <xdr:rowOff>76200</xdr:rowOff>
        </xdr:from>
        <xdr:to>
          <xdr:col>2</xdr:col>
          <xdr:colOff>285750</xdr:colOff>
          <xdr:row>109</xdr:row>
          <xdr:rowOff>9525</xdr:rowOff>
        </xdr:to>
        <xdr:sp macro="" textlink="">
          <xdr:nvSpPr>
            <xdr:cNvPr id="24580" name="Object 4" hidden="1">
              <a:extLst>
                <a:ext uri="{63B3BB69-23CF-44E3-9099-C40C66FF867C}">
                  <a14:compatExt spid="_x0000_s24580"/>
                </a:ext>
                <a:ext uri="{FF2B5EF4-FFF2-40B4-BE49-F238E27FC236}">
                  <a16:creationId xmlns:a16="http://schemas.microsoft.com/office/drawing/2014/main" id="{00000000-0008-0000-0200-000004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working\waccache\MW1PEPF00012423\EXCELCNV\249121e9-bfcd-4f95-afd1-e82a77bcac89\Continious%20Inflow%20Bioswale_2014HRM_V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wmtvrfile01\nwcae412334\XL4050\Design\Hydraulics\BMP%20Design\Bioswal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Calculations"/>
      <sheetName val="Area 1"/>
      <sheetName val="Area 2"/>
      <sheetName val="Area 3"/>
      <sheetName val="Area 4"/>
      <sheetName val="Area 5"/>
      <sheetName val="Area 6"/>
      <sheetName val="Area 7"/>
      <sheetName val="Area 8"/>
      <sheetName val="Tab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lculations"/>
      <sheetName val="Table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3.bin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oleObject" Target="../embeddings/oleObject2.bin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0" Type="http://schemas.openxmlformats.org/officeDocument/2006/relationships/oleObject" Target="../embeddings/oleObject4.bin"/><Relationship Id="rId4" Type="http://schemas.openxmlformats.org/officeDocument/2006/relationships/oleObject" Target="../embeddings/oleObject1.bin"/><Relationship Id="rId9" Type="http://schemas.openxmlformats.org/officeDocument/2006/relationships/image" Target="../media/image3.emf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7.bin"/><Relationship Id="rId3" Type="http://schemas.openxmlformats.org/officeDocument/2006/relationships/vmlDrawing" Target="../drawings/vmlDrawing2.vml"/><Relationship Id="rId7" Type="http://schemas.openxmlformats.org/officeDocument/2006/relationships/image" Target="../media/image2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6" Type="http://schemas.openxmlformats.org/officeDocument/2006/relationships/oleObject" Target="../embeddings/oleObject6.bin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0" Type="http://schemas.openxmlformats.org/officeDocument/2006/relationships/oleObject" Target="../embeddings/oleObject8.bin"/><Relationship Id="rId4" Type="http://schemas.openxmlformats.org/officeDocument/2006/relationships/oleObject" Target="../embeddings/oleObject5.bin"/><Relationship Id="rId9" Type="http://schemas.openxmlformats.org/officeDocument/2006/relationships/image" Target="../media/image3.emf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FB3C39-4373-4CB4-BC44-D05BE635EDEC}">
  <dimension ref="A1:H10"/>
  <sheetViews>
    <sheetView tabSelected="1" workbookViewId="0">
      <selection activeCell="A11" sqref="A11"/>
    </sheetView>
  </sheetViews>
  <sheetFormatPr defaultRowHeight="12.75" x14ac:dyDescent="0.2"/>
  <sheetData>
    <row r="1" spans="1:8" x14ac:dyDescent="0.2">
      <c r="A1" s="1" t="s">
        <v>0</v>
      </c>
    </row>
    <row r="2" spans="1:8" x14ac:dyDescent="0.2">
      <c r="A2" s="71" t="s">
        <v>1</v>
      </c>
      <c r="B2" s="71"/>
      <c r="C2" s="71"/>
      <c r="D2" s="71"/>
      <c r="E2" s="71"/>
      <c r="F2" s="71"/>
      <c r="G2" s="71"/>
      <c r="H2" s="71"/>
    </row>
    <row r="3" spans="1:8" x14ac:dyDescent="0.2">
      <c r="A3" s="71"/>
      <c r="B3" s="71"/>
      <c r="C3" s="71"/>
      <c r="D3" s="71"/>
      <c r="E3" s="71"/>
      <c r="F3" s="71"/>
      <c r="G3" s="71"/>
      <c r="H3" s="71"/>
    </row>
    <row r="4" spans="1:8" x14ac:dyDescent="0.2">
      <c r="A4" s="71"/>
      <c r="B4" s="71"/>
      <c r="C4" s="71"/>
      <c r="D4" s="71"/>
      <c r="E4" s="71"/>
      <c r="F4" s="71"/>
      <c r="G4" s="71"/>
      <c r="H4" s="71"/>
    </row>
    <row r="5" spans="1:8" x14ac:dyDescent="0.2">
      <c r="A5" s="71"/>
      <c r="B5" s="71"/>
      <c r="C5" s="71"/>
      <c r="D5" s="71"/>
      <c r="E5" s="71"/>
      <c r="F5" s="71"/>
      <c r="G5" s="71"/>
      <c r="H5" s="71"/>
    </row>
    <row r="6" spans="1:8" x14ac:dyDescent="0.2">
      <c r="A6" s="71"/>
      <c r="B6" s="71"/>
      <c r="C6" s="71"/>
      <c r="D6" s="71"/>
      <c r="E6" s="71"/>
      <c r="F6" s="71"/>
      <c r="G6" s="71"/>
      <c r="H6" s="71"/>
    </row>
    <row r="8" spans="1:8" x14ac:dyDescent="0.2">
      <c r="A8" s="2" t="s">
        <v>2</v>
      </c>
    </row>
    <row r="10" spans="1:8" x14ac:dyDescent="0.2">
      <c r="A10" s="2" t="s">
        <v>3</v>
      </c>
    </row>
  </sheetData>
  <mergeCells count="1">
    <mergeCell ref="A2:H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296BB4-7C54-4A29-8A68-477E3514A35B}">
  <sheetPr>
    <pageSetUpPr fitToPage="1"/>
  </sheetPr>
  <dimension ref="A1:R149"/>
  <sheetViews>
    <sheetView zoomScale="85" zoomScaleNormal="85" workbookViewId="0">
      <selection activeCell="H106" sqref="H106"/>
    </sheetView>
  </sheetViews>
  <sheetFormatPr defaultColWidth="8.85546875" defaultRowHeight="12.75" x14ac:dyDescent="0.2"/>
  <cols>
    <col min="1" max="1" width="7.5703125" style="1" customWidth="1"/>
    <col min="2" max="2" width="12.42578125" customWidth="1"/>
    <col min="3" max="3" width="19.7109375" customWidth="1"/>
    <col min="10" max="10" width="18.140625" bestFit="1" customWidth="1"/>
    <col min="14" max="14" width="13.85546875" customWidth="1"/>
  </cols>
  <sheetData>
    <row r="1" spans="1:13" x14ac:dyDescent="0.2">
      <c r="A1" s="11"/>
      <c r="B1" s="12" t="s">
        <v>4</v>
      </c>
      <c r="C1" s="13"/>
      <c r="D1" s="14"/>
      <c r="E1" s="14"/>
      <c r="F1" s="14"/>
      <c r="G1" s="14"/>
      <c r="H1" s="14"/>
      <c r="I1" s="14"/>
      <c r="J1" s="14"/>
      <c r="K1" s="14"/>
      <c r="L1" s="14"/>
      <c r="M1" s="14"/>
    </row>
    <row r="2" spans="1:13" x14ac:dyDescent="0.2">
      <c r="A2" s="15"/>
      <c r="B2" s="16" t="s">
        <v>5</v>
      </c>
      <c r="C2" s="16"/>
      <c r="D2" s="15"/>
      <c r="E2" s="15"/>
      <c r="F2" s="15"/>
      <c r="G2" s="15"/>
      <c r="H2" s="15" t="s">
        <v>6</v>
      </c>
      <c r="I2" s="15"/>
      <c r="J2" s="15"/>
      <c r="K2" s="15"/>
      <c r="L2" s="15"/>
      <c r="M2" s="14"/>
    </row>
    <row r="3" spans="1:13" x14ac:dyDescent="0.2">
      <c r="A3" s="15"/>
      <c r="B3" s="16" t="s">
        <v>7</v>
      </c>
      <c r="C3" s="16"/>
      <c r="D3" s="15"/>
      <c r="E3" s="15"/>
      <c r="F3" s="15"/>
      <c r="G3" s="15"/>
      <c r="H3" s="15" t="s">
        <v>8</v>
      </c>
      <c r="I3" s="15"/>
      <c r="J3" s="15"/>
      <c r="K3" s="15"/>
      <c r="L3" s="15"/>
      <c r="M3" s="14"/>
    </row>
    <row r="4" spans="1:13" x14ac:dyDescent="0.2">
      <c r="A4" s="15"/>
      <c r="B4" s="16"/>
      <c r="C4" s="16"/>
      <c r="D4" s="15"/>
      <c r="E4" s="15"/>
      <c r="F4" s="15"/>
      <c r="G4" s="15"/>
      <c r="H4" s="15"/>
      <c r="I4" s="15"/>
      <c r="J4" s="15"/>
      <c r="K4" s="15"/>
      <c r="L4" s="15"/>
      <c r="M4" s="14"/>
    </row>
    <row r="5" spans="1:13" ht="15.75" x14ac:dyDescent="0.25">
      <c r="A5" s="25"/>
      <c r="B5" s="26" t="s">
        <v>9</v>
      </c>
      <c r="C5" s="25"/>
    </row>
    <row r="6" spans="1:13" ht="15.75" x14ac:dyDescent="0.25">
      <c r="A6" s="25"/>
      <c r="B6" s="26"/>
      <c r="C6" s="25"/>
    </row>
    <row r="7" spans="1:13" x14ac:dyDescent="0.2">
      <c r="B7" s="1" t="s">
        <v>10</v>
      </c>
    </row>
    <row r="8" spans="1:13" ht="14.25" x14ac:dyDescent="0.25">
      <c r="A8" s="1" t="s">
        <v>11</v>
      </c>
      <c r="B8" s="1" t="s">
        <v>12</v>
      </c>
    </row>
    <row r="10" spans="1:13" ht="15.75" x14ac:dyDescent="0.3">
      <c r="B10" t="s">
        <v>13</v>
      </c>
      <c r="C10" s="51"/>
      <c r="D10" t="s">
        <v>14</v>
      </c>
    </row>
    <row r="11" spans="1:13" x14ac:dyDescent="0.2">
      <c r="D11" t="s">
        <v>15</v>
      </c>
    </row>
    <row r="13" spans="1:13" ht="14.25" x14ac:dyDescent="0.25">
      <c r="A13" s="1" t="s">
        <v>16</v>
      </c>
      <c r="B13" s="1" t="s">
        <v>17</v>
      </c>
    </row>
    <row r="14" spans="1:13" x14ac:dyDescent="0.2">
      <c r="B14" s="27"/>
      <c r="C14" s="27" t="s">
        <v>18</v>
      </c>
      <c r="E14" s="52"/>
      <c r="F14" s="56" t="str">
        <f>IF(E14="","&lt;------- Choose Yes or No",IF(E14="Yes","Qwq=Qbiofil",""))</f>
        <v>&lt;------- Choose Yes or No</v>
      </c>
      <c r="H14" s="28"/>
    </row>
    <row r="15" spans="1:13" x14ac:dyDescent="0.2">
      <c r="B15" s="27"/>
      <c r="C15" s="27"/>
      <c r="E15" s="29"/>
      <c r="F15" s="28"/>
      <c r="H15" s="28"/>
    </row>
    <row r="16" spans="1:13" ht="13.15" customHeight="1" x14ac:dyDescent="0.2">
      <c r="B16" s="57" t="str">
        <f>IF(E14="","",IF(AND(E14="YES",ISNUMBER(C16)),"Leave Blank---&gt;",IF(AND(E14="YES",C16=""),"",IF(C16="","Enter Precip Value ---&gt;",""))))</f>
        <v/>
      </c>
      <c r="C16" s="53"/>
      <c r="D16" s="74"/>
      <c r="E16" s="75"/>
      <c r="F16" s="75"/>
      <c r="G16" s="76"/>
      <c r="H16" s="58" t="str">
        <f>IF(E14="","Choose YES or NO for box E14 above",IF(AND(E14="YES",D16="N/A"),"",IF(E14="YES","&lt;--Choose N/A",IF(OR(D16="",D16="N/A"),"&lt;--Choose either the 2-yr OR the 6-month precipitation",""))))</f>
        <v>Choose YES or NO for box E14 above</v>
      </c>
    </row>
    <row r="17" spans="1:11" x14ac:dyDescent="0.2">
      <c r="B17" s="30" t="str">
        <f>IF(OR(E14="",E14="YES"),"",IF(D16="2-year 24 hr precip depth (in)","P72%, 2-yr",""))</f>
        <v/>
      </c>
      <c r="C17" s="31" t="str">
        <f>IF(OR(E14="",E14="YES"),"",IF(D16="2-year 24 hr precip depth (in)",C16*0.72,""))</f>
        <v/>
      </c>
      <c r="D17" s="28" t="str">
        <f>IF(OR(E14="",E14="YES"),"",IF(D16="2-year 24 hr precip depth (in)","  72% of the 2-year 24 hr precip depth (in)",""))</f>
        <v/>
      </c>
    </row>
    <row r="18" spans="1:11" x14ac:dyDescent="0.2">
      <c r="B18" s="30"/>
      <c r="C18" s="31"/>
      <c r="D18" s="28"/>
    </row>
    <row r="19" spans="1:11" x14ac:dyDescent="0.2">
      <c r="B19" s="2"/>
      <c r="C19" s="2" t="str">
        <f>IF(E14="","","Is bioswale online or offline?")</f>
        <v/>
      </c>
      <c r="E19" s="45"/>
      <c r="F19" s="58" t="str">
        <f>IF(E14="","",IF(E19="","&lt;--Choose online or offline",""))</f>
        <v/>
      </c>
      <c r="H19" s="58"/>
    </row>
    <row r="21" spans="1:11" ht="15.75" x14ac:dyDescent="0.3">
      <c r="B21" s="30" t="s">
        <v>19</v>
      </c>
      <c r="C21" s="23">
        <f>IF(E14="Yes",C10,C10*(IF(AND(E19="online",D16="2-year 24 hr precip depth (in)"),1.41*C17-0.052,IF(AND(E19="online",D16="6-month 24 hr precip depth (in)"),1.41*C16-0.052,(IF(AND(E19="offline",D16="2-year 24 hr precip depth (in)"),2.5*C17-0.052,IF(AND(E19="offline",D16="6-month 24 hr precip depth (in)"),2.52*C16-0.052)))))))</f>
        <v>0</v>
      </c>
      <c r="D21" t="s">
        <v>20</v>
      </c>
    </row>
    <row r="23" spans="1:11" x14ac:dyDescent="0.2">
      <c r="A23" s="1" t="s">
        <v>21</v>
      </c>
      <c r="B23" s="1" t="s">
        <v>22</v>
      </c>
    </row>
    <row r="24" spans="1:11" x14ac:dyDescent="0.2">
      <c r="B24" s="27" t="s">
        <v>23</v>
      </c>
      <c r="C24" s="51"/>
      <c r="D24" s="28" t="s">
        <v>24</v>
      </c>
    </row>
    <row r="25" spans="1:11" x14ac:dyDescent="0.2">
      <c r="C25" s="58" t="str">
        <f>IF(C24="","",IF(C24&gt;0.05,"For slopes greater than 5%, install energy dissipaters; see HRM Table 5-4",IF(C24&lt;0.015,"Increase swale longitudinal slope; see HRM Table 5-4","")))</f>
        <v/>
      </c>
    </row>
    <row r="26" spans="1:11" x14ac:dyDescent="0.2">
      <c r="A26" s="1" t="s">
        <v>25</v>
      </c>
      <c r="B26" s="1" t="s">
        <v>26</v>
      </c>
    </row>
    <row r="27" spans="1:11" ht="13.15" customHeight="1" x14ac:dyDescent="0.2">
      <c r="B27" s="2" t="s">
        <v>27</v>
      </c>
      <c r="C27" s="81"/>
      <c r="D27" s="82"/>
      <c r="E27" s="82"/>
      <c r="F27" s="82"/>
      <c r="G27" s="82"/>
      <c r="H27" s="82"/>
      <c r="I27" s="82"/>
      <c r="J27" s="83"/>
      <c r="K27" t="s">
        <v>28</v>
      </c>
    </row>
    <row r="28" spans="1:11" x14ac:dyDescent="0.2">
      <c r="B28" s="27" t="s">
        <v>29</v>
      </c>
      <c r="C28" s="32" t="str">
        <f>IF(C27="","",IF(C27=Tables!A3,Tables!B3,IF(C27=Tables!A4,Tables!B4,IF(C27=Tables!A5,Tables!B5,Error))))</f>
        <v/>
      </c>
      <c r="D28" s="77" t="s">
        <v>30</v>
      </c>
      <c r="E28" s="78"/>
      <c r="F28" s="78"/>
      <c r="G28" s="78"/>
      <c r="H28" s="78"/>
      <c r="I28" s="78"/>
      <c r="J28" s="78"/>
    </row>
    <row r="29" spans="1:11" x14ac:dyDescent="0.2">
      <c r="C29" s="69"/>
      <c r="D29" s="69"/>
      <c r="E29" s="69"/>
      <c r="F29" s="69"/>
      <c r="G29" s="69"/>
      <c r="H29" s="69"/>
      <c r="I29" s="69"/>
    </row>
    <row r="30" spans="1:11" x14ac:dyDescent="0.2">
      <c r="A30" s="1" t="s">
        <v>31</v>
      </c>
      <c r="B30" s="1" t="s">
        <v>32</v>
      </c>
    </row>
    <row r="32" spans="1:11" x14ac:dyDescent="0.2">
      <c r="B32" s="30" t="s">
        <v>33</v>
      </c>
      <c r="C32" s="55"/>
      <c r="D32" t="s">
        <v>34</v>
      </c>
    </row>
    <row r="34" spans="1:14" x14ac:dyDescent="0.2">
      <c r="A34" s="1" t="s">
        <v>35</v>
      </c>
      <c r="B34" s="1" t="s">
        <v>36</v>
      </c>
    </row>
    <row r="36" spans="1:14" x14ac:dyDescent="0.2">
      <c r="A36" s="1" t="s">
        <v>37</v>
      </c>
      <c r="B36" s="79" t="s">
        <v>38</v>
      </c>
      <c r="C36" s="80"/>
      <c r="D36" s="80"/>
      <c r="E36" s="80"/>
      <c r="F36" s="80"/>
      <c r="G36" s="80"/>
      <c r="H36" s="80"/>
      <c r="J36" s="33"/>
      <c r="L36" s="31"/>
    </row>
    <row r="37" spans="1:14" x14ac:dyDescent="0.2">
      <c r="B37" s="80"/>
      <c r="C37" s="80"/>
      <c r="D37" s="80"/>
      <c r="E37" s="80"/>
      <c r="F37" s="80"/>
      <c r="G37" s="80"/>
      <c r="H37" s="80"/>
    </row>
    <row r="38" spans="1:14" x14ac:dyDescent="0.2">
      <c r="B38" s="70"/>
      <c r="C38" s="70"/>
      <c r="D38" s="70"/>
      <c r="E38" s="70"/>
      <c r="F38" s="70"/>
      <c r="G38" s="70"/>
      <c r="H38" s="70"/>
    </row>
    <row r="40" spans="1:14" x14ac:dyDescent="0.2">
      <c r="H40" t="s">
        <v>39</v>
      </c>
    </row>
    <row r="43" spans="1:14" x14ac:dyDescent="0.2">
      <c r="C43" t="s">
        <v>40</v>
      </c>
    </row>
    <row r="44" spans="1:14" ht="6.6" customHeight="1" x14ac:dyDescent="0.2"/>
    <row r="45" spans="1:14" ht="6.6" customHeight="1" x14ac:dyDescent="0.2"/>
    <row r="46" spans="1:14" ht="16.149999999999999" customHeight="1" x14ac:dyDescent="0.2"/>
    <row r="47" spans="1:14" x14ac:dyDescent="0.2">
      <c r="B47" s="1" t="s">
        <v>41</v>
      </c>
    </row>
    <row r="48" spans="1:14" ht="15.75" x14ac:dyDescent="0.3">
      <c r="A48" s="1" t="s">
        <v>42</v>
      </c>
      <c r="B48" s="2" t="s">
        <v>43</v>
      </c>
      <c r="C48" s="23">
        <f>C21</f>
        <v>0</v>
      </c>
      <c r="D48" s="2" t="s">
        <v>44</v>
      </c>
      <c r="N48" s="34"/>
    </row>
    <row r="49" spans="2:16" x14ac:dyDescent="0.2">
      <c r="B49" t="s">
        <v>45</v>
      </c>
      <c r="C49" s="23">
        <f>0.5*C56*(C53+C53+C54*C56+C55*C56)</f>
        <v>0</v>
      </c>
      <c r="D49" s="2" t="s">
        <v>46</v>
      </c>
    </row>
    <row r="50" spans="2:16" x14ac:dyDescent="0.2">
      <c r="B50" t="s">
        <v>47</v>
      </c>
      <c r="C50" s="23" t="e">
        <f>C49/(C53+(C56/(COS(ATAN(C54/1))))+(C56/(COS(ATAN(C55/1)))))</f>
        <v>#DIV/0!</v>
      </c>
      <c r="D50" s="2" t="s">
        <v>48</v>
      </c>
      <c r="N50" s="31"/>
    </row>
    <row r="51" spans="2:16" x14ac:dyDescent="0.2">
      <c r="B51" t="s">
        <v>23</v>
      </c>
      <c r="C51" s="23">
        <f>C24</f>
        <v>0</v>
      </c>
      <c r="D51" s="2" t="s">
        <v>49</v>
      </c>
      <c r="N51" s="23"/>
    </row>
    <row r="52" spans="2:16" x14ac:dyDescent="0.2">
      <c r="B52" t="s">
        <v>50</v>
      </c>
      <c r="C52" s="31" t="str">
        <f>C28</f>
        <v/>
      </c>
      <c r="D52" s="2" t="s">
        <v>51</v>
      </c>
      <c r="N52" s="31"/>
    </row>
    <row r="53" spans="2:16" x14ac:dyDescent="0.2">
      <c r="B53" t="s">
        <v>52</v>
      </c>
      <c r="C53" s="17"/>
      <c r="D53" s="2" t="s">
        <v>53</v>
      </c>
      <c r="N53" s="35"/>
    </row>
    <row r="54" spans="2:16" ht="15.75" x14ac:dyDescent="0.3">
      <c r="B54" s="2" t="s">
        <v>54</v>
      </c>
      <c r="C54" s="54"/>
      <c r="D54" t="s">
        <v>55</v>
      </c>
      <c r="N54" s="31"/>
    </row>
    <row r="55" spans="2:16" ht="15.75" x14ac:dyDescent="0.3">
      <c r="B55" s="2" t="s">
        <v>56</v>
      </c>
      <c r="C55" s="54"/>
      <c r="D55" t="s">
        <v>55</v>
      </c>
      <c r="N55" s="31"/>
    </row>
    <row r="56" spans="2:16" x14ac:dyDescent="0.2">
      <c r="B56" t="s">
        <v>33</v>
      </c>
      <c r="C56" s="23">
        <f>C32</f>
        <v>0</v>
      </c>
      <c r="D56" s="2" t="s">
        <v>57</v>
      </c>
      <c r="N56" s="31"/>
    </row>
    <row r="57" spans="2:16" x14ac:dyDescent="0.2">
      <c r="C57" s="31"/>
    </row>
    <row r="58" spans="2:16" ht="15.75" customHeight="1" x14ac:dyDescent="0.3">
      <c r="B58" t="s">
        <v>19</v>
      </c>
      <c r="C58" s="36" t="e">
        <f>(1.49*C49*(C50^(2/3))*(C51^0.5))/C52</f>
        <v>#DIV/0!</v>
      </c>
      <c r="D58" s="77" t="s">
        <v>58</v>
      </c>
      <c r="E58" s="77"/>
      <c r="F58" s="77"/>
      <c r="G58" s="77"/>
      <c r="H58" s="77"/>
      <c r="N58" s="34"/>
    </row>
    <row r="59" spans="2:16" x14ac:dyDescent="0.2">
      <c r="D59" s="77"/>
      <c r="E59" s="77"/>
      <c r="F59" s="77"/>
      <c r="G59" s="77"/>
      <c r="H59" s="77"/>
    </row>
    <row r="60" spans="2:16" x14ac:dyDescent="0.2">
      <c r="B60" s="1"/>
      <c r="D60" s="77"/>
      <c r="E60" s="77"/>
      <c r="F60" s="77"/>
      <c r="G60" s="77"/>
      <c r="H60" s="77"/>
    </row>
    <row r="61" spans="2:16" ht="12.75" customHeight="1" x14ac:dyDescent="0.2">
      <c r="E61" s="34"/>
      <c r="F61" s="37"/>
      <c r="G61" s="37"/>
      <c r="H61" s="37"/>
      <c r="I61" s="37"/>
      <c r="J61" s="37"/>
      <c r="P61" s="34"/>
    </row>
    <row r="62" spans="2:16" x14ac:dyDescent="0.2">
      <c r="B62" t="s">
        <v>59</v>
      </c>
      <c r="E62" s="34"/>
      <c r="F62" s="37"/>
      <c r="G62" s="37"/>
      <c r="H62" s="37"/>
      <c r="I62" s="37"/>
      <c r="J62" s="37"/>
      <c r="P62" s="34"/>
    </row>
    <row r="63" spans="2:16" x14ac:dyDescent="0.2">
      <c r="B63" s="58" t="str">
        <f>IF(C53&gt;10,"See Note 2 of HRM Table 5-4 for bioswale bottom widths greater than 10 feet",IF(C53&lt;2,"Minimum bioswale bottom width is 2 feet",""))</f>
        <v>Minimum bioswale bottom width is 2 feet</v>
      </c>
      <c r="E63" s="34"/>
      <c r="F63" s="68"/>
      <c r="G63" s="68"/>
      <c r="H63" s="68"/>
      <c r="I63" s="68"/>
      <c r="J63" s="68"/>
      <c r="P63" s="34"/>
    </row>
    <row r="64" spans="2:16" x14ac:dyDescent="0.2">
      <c r="E64" s="34"/>
      <c r="F64" s="68"/>
      <c r="G64" s="68"/>
      <c r="H64" s="68"/>
      <c r="I64" s="68"/>
      <c r="J64" s="68"/>
      <c r="P64" s="34"/>
    </row>
    <row r="66" spans="1:14" x14ac:dyDescent="0.2">
      <c r="A66" s="1" t="s">
        <v>60</v>
      </c>
      <c r="B66" s="38" t="s">
        <v>61</v>
      </c>
    </row>
    <row r="67" spans="1:14" x14ac:dyDescent="0.2">
      <c r="B67" s="38" t="s">
        <v>62</v>
      </c>
    </row>
    <row r="68" spans="1:14" ht="15.75" x14ac:dyDescent="0.3">
      <c r="B68" t="s">
        <v>19</v>
      </c>
      <c r="C68" s="23">
        <f>C48</f>
        <v>0</v>
      </c>
      <c r="D68" s="2" t="s">
        <v>44</v>
      </c>
      <c r="N68" s="34"/>
    </row>
    <row r="69" spans="1:14" x14ac:dyDescent="0.2">
      <c r="B69" t="s">
        <v>45</v>
      </c>
      <c r="C69" s="23">
        <f>0.5*C76*(C73+C73+C74*C76+C75*C76)</f>
        <v>0</v>
      </c>
      <c r="D69" s="2" t="s">
        <v>46</v>
      </c>
    </row>
    <row r="70" spans="1:14" x14ac:dyDescent="0.2">
      <c r="B70" t="s">
        <v>47</v>
      </c>
      <c r="C70" s="23" t="e">
        <f>C69/(C73+(C76/(COS(ATAN(C74/1))))+(C76/(COS(ATAN(C75/1)))))</f>
        <v>#DIV/0!</v>
      </c>
      <c r="D70" s="2" t="s">
        <v>48</v>
      </c>
      <c r="N70" s="31"/>
    </row>
    <row r="71" spans="1:14" x14ac:dyDescent="0.2">
      <c r="B71" t="s">
        <v>23</v>
      </c>
      <c r="C71" s="23">
        <f>C51</f>
        <v>0</v>
      </c>
      <c r="D71" s="2" t="s">
        <v>49</v>
      </c>
      <c r="N71" s="23"/>
    </row>
    <row r="72" spans="1:14" x14ac:dyDescent="0.2">
      <c r="B72" t="s">
        <v>50</v>
      </c>
      <c r="C72" s="31" t="str">
        <f>C52</f>
        <v/>
      </c>
      <c r="D72" s="2" t="s">
        <v>51</v>
      </c>
      <c r="N72" s="31"/>
    </row>
    <row r="73" spans="1:14" x14ac:dyDescent="0.2">
      <c r="B73" t="s">
        <v>52</v>
      </c>
      <c r="C73" s="18"/>
      <c r="D73" s="2" t="s">
        <v>63</v>
      </c>
      <c r="N73" s="35"/>
    </row>
    <row r="74" spans="1:14" ht="15.75" x14ac:dyDescent="0.3">
      <c r="B74" s="2" t="s">
        <v>54</v>
      </c>
      <c r="C74" s="31">
        <f>C54</f>
        <v>0</v>
      </c>
      <c r="D74" t="s">
        <v>55</v>
      </c>
      <c r="N74" s="31"/>
    </row>
    <row r="75" spans="1:14" ht="15.75" x14ac:dyDescent="0.3">
      <c r="B75" s="2" t="s">
        <v>56</v>
      </c>
      <c r="C75" s="31">
        <f>C55</f>
        <v>0</v>
      </c>
      <c r="D75" t="s">
        <v>55</v>
      </c>
      <c r="N75" s="31"/>
    </row>
    <row r="76" spans="1:14" x14ac:dyDescent="0.2">
      <c r="B76" t="s">
        <v>33</v>
      </c>
      <c r="C76" s="19"/>
      <c r="D76" s="2" t="s">
        <v>64</v>
      </c>
      <c r="N76" s="31"/>
    </row>
    <row r="77" spans="1:14" x14ac:dyDescent="0.2">
      <c r="C77" s="31"/>
    </row>
    <row r="78" spans="1:14" ht="15.75" customHeight="1" x14ac:dyDescent="0.3">
      <c r="B78" t="s">
        <v>19</v>
      </c>
      <c r="C78" s="36" t="e">
        <f>(1.49*C69*(C70^(2/3))*(C71^0.5))/C72</f>
        <v>#DIV/0!</v>
      </c>
      <c r="D78" s="77" t="s">
        <v>65</v>
      </c>
      <c r="E78" s="77"/>
      <c r="F78" s="77"/>
      <c r="G78" s="77"/>
      <c r="H78" s="77"/>
      <c r="N78" s="34"/>
    </row>
    <row r="79" spans="1:14" x14ac:dyDescent="0.2">
      <c r="D79" s="77"/>
      <c r="E79" s="77"/>
      <c r="F79" s="77"/>
      <c r="G79" s="77"/>
      <c r="H79" s="77"/>
    </row>
    <row r="80" spans="1:14" x14ac:dyDescent="0.2">
      <c r="D80" s="77"/>
      <c r="E80" s="77"/>
      <c r="F80" s="77"/>
      <c r="G80" s="77"/>
      <c r="H80" s="77"/>
    </row>
    <row r="81" spans="1:8" x14ac:dyDescent="0.2">
      <c r="D81" s="70"/>
      <c r="E81" s="70"/>
      <c r="F81" s="70"/>
      <c r="G81" s="70"/>
      <c r="H81" s="70"/>
    </row>
    <row r="82" spans="1:8" x14ac:dyDescent="0.2">
      <c r="B82" t="s">
        <v>59</v>
      </c>
      <c r="D82" s="70"/>
      <c r="E82" s="70"/>
      <c r="F82" s="70"/>
      <c r="G82" s="70"/>
      <c r="H82" s="70"/>
    </row>
    <row r="83" spans="1:8" x14ac:dyDescent="0.2">
      <c r="B83" s="58" t="str">
        <f>IF(C73&gt;10,"See Note 2 of HRM Table 5-4 for bioswale bottom widths greater than 10 feet",IF(C73&lt;2,"Minimum bioswale bottom width is 2 feet",""))</f>
        <v>Minimum bioswale bottom width is 2 feet</v>
      </c>
      <c r="D83" s="70"/>
      <c r="E83" s="70"/>
      <c r="F83" s="70"/>
      <c r="G83" s="70"/>
      <c r="H83" s="70"/>
    </row>
    <row r="84" spans="1:8" x14ac:dyDescent="0.2">
      <c r="B84" s="58" t="str">
        <f>IF(C76&gt;0.33,"Maximum water depth exceeded - See HRM Table 5-4 for bioswale maximum water depth","")</f>
        <v/>
      </c>
      <c r="D84" s="70"/>
      <c r="E84" s="70"/>
      <c r="F84" s="70"/>
      <c r="G84" s="70"/>
      <c r="H84" s="70"/>
    </row>
    <row r="85" spans="1:8" x14ac:dyDescent="0.2">
      <c r="B85" s="58" t="str">
        <f>IF(AND(C73&gt;16,C76&gt;0.33),"Try to reduce Qbiofil by limiting area flowing to the bioswale.","")</f>
        <v/>
      </c>
      <c r="D85" s="70"/>
      <c r="E85" s="70"/>
      <c r="F85" s="70"/>
      <c r="G85" s="70"/>
      <c r="H85" s="70"/>
    </row>
    <row r="86" spans="1:8" ht="58.15" customHeight="1" x14ac:dyDescent="0.2">
      <c r="D86" s="70"/>
      <c r="E86" s="70"/>
      <c r="F86" s="70"/>
      <c r="G86" s="70"/>
      <c r="H86" s="70"/>
    </row>
    <row r="87" spans="1:8" ht="48.6" customHeight="1" x14ac:dyDescent="0.2">
      <c r="D87" s="70"/>
      <c r="E87" s="70"/>
      <c r="F87" s="70"/>
      <c r="G87" s="70"/>
      <c r="H87" s="70"/>
    </row>
    <row r="88" spans="1:8" x14ac:dyDescent="0.2">
      <c r="A88" s="1" t="s">
        <v>66</v>
      </c>
      <c r="B88" s="1" t="s">
        <v>67</v>
      </c>
      <c r="D88" s="70"/>
      <c r="E88" s="70"/>
      <c r="F88" s="70"/>
      <c r="G88" s="70"/>
      <c r="H88" s="70"/>
    </row>
    <row r="89" spans="1:8" x14ac:dyDescent="0.2">
      <c r="B89" s="2" t="s">
        <v>68</v>
      </c>
      <c r="D89" s="51"/>
      <c r="E89" s="2" t="s">
        <v>69</v>
      </c>
    </row>
    <row r="90" spans="1:8" x14ac:dyDescent="0.2">
      <c r="B90" s="2" t="s">
        <v>70</v>
      </c>
      <c r="D90" s="51"/>
      <c r="E90" s="2" t="s">
        <v>48</v>
      </c>
    </row>
    <row r="91" spans="1:8" x14ac:dyDescent="0.2">
      <c r="B91" s="2" t="s">
        <v>71</v>
      </c>
      <c r="D91" s="51"/>
      <c r="E91" s="2" t="s">
        <v>49</v>
      </c>
    </row>
    <row r="92" spans="1:8" x14ac:dyDescent="0.2">
      <c r="B92" s="2" t="s">
        <v>72</v>
      </c>
      <c r="D92" s="55"/>
      <c r="E92" s="2" t="s">
        <v>51</v>
      </c>
    </row>
    <row r="93" spans="1:8" x14ac:dyDescent="0.2">
      <c r="B93" s="2" t="s">
        <v>73</v>
      </c>
      <c r="D93" s="49"/>
      <c r="E93" s="2" t="s">
        <v>74</v>
      </c>
    </row>
    <row r="94" spans="1:8" ht="15.75" x14ac:dyDescent="0.3">
      <c r="B94" s="2" t="s">
        <v>75</v>
      </c>
      <c r="D94" s="55"/>
      <c r="E94" t="s">
        <v>55</v>
      </c>
    </row>
    <row r="95" spans="1:8" ht="15.75" x14ac:dyDescent="0.3">
      <c r="B95" s="2" t="s">
        <v>76</v>
      </c>
      <c r="D95" s="55"/>
      <c r="E95" t="s">
        <v>55</v>
      </c>
    </row>
    <row r="96" spans="1:8" x14ac:dyDescent="0.2">
      <c r="B96" s="2" t="s">
        <v>77</v>
      </c>
      <c r="D96" s="50"/>
      <c r="E96" s="2" t="s">
        <v>64</v>
      </c>
    </row>
    <row r="97" spans="1:8" x14ac:dyDescent="0.2">
      <c r="B97" s="24"/>
    </row>
    <row r="98" spans="1:8" ht="14.25" x14ac:dyDescent="0.25">
      <c r="A98" s="1" t="s">
        <v>78</v>
      </c>
      <c r="B98" s="1" t="s">
        <v>79</v>
      </c>
    </row>
    <row r="99" spans="1:8" x14ac:dyDescent="0.2">
      <c r="B99" s="1"/>
    </row>
    <row r="100" spans="1:8" x14ac:dyDescent="0.2">
      <c r="B100" s="1"/>
    </row>
    <row r="101" spans="1:8" x14ac:dyDescent="0.2">
      <c r="B101" s="1"/>
      <c r="E101" t="s">
        <v>80</v>
      </c>
    </row>
    <row r="102" spans="1:8" x14ac:dyDescent="0.2">
      <c r="B102" s="1"/>
    </row>
    <row r="103" spans="1:8" ht="15.75" x14ac:dyDescent="0.3">
      <c r="B103" t="s">
        <v>81</v>
      </c>
      <c r="C103" s="60" t="e">
        <f>C48/D89</f>
        <v>#DIV/0!</v>
      </c>
      <c r="D103" s="2" t="s">
        <v>82</v>
      </c>
    </row>
    <row r="104" spans="1:8" x14ac:dyDescent="0.2">
      <c r="C104" s="31"/>
      <c r="D104" s="2"/>
    </row>
    <row r="105" spans="1:8" x14ac:dyDescent="0.2">
      <c r="B105" s="61" t="e">
        <f>IF(C103&gt;1,"--------&gt;","")</f>
        <v>#DIV/0!</v>
      </c>
      <c r="C105" s="35" t="e">
        <f>IF(C103&lt;1,"Flow veloicty is OK since it is less than 1 ft/sec","Error - Flow velocity is greater than 1 ft/sec, Please redesign swale")</f>
        <v>#DIV/0!</v>
      </c>
      <c r="D105" s="2"/>
    </row>
    <row r="107" spans="1:8" x14ac:dyDescent="0.2">
      <c r="A107" s="1" t="s">
        <v>83</v>
      </c>
      <c r="B107" s="1" t="s">
        <v>84</v>
      </c>
    </row>
    <row r="110" spans="1:8" x14ac:dyDescent="0.2">
      <c r="B110" s="2" t="s">
        <v>85</v>
      </c>
      <c r="C110">
        <v>540</v>
      </c>
      <c r="D110" s="2" t="s">
        <v>86</v>
      </c>
    </row>
    <row r="111" spans="1:8" x14ac:dyDescent="0.2">
      <c r="B111" t="s">
        <v>87</v>
      </c>
      <c r="C111" s="60" t="e">
        <f>ROUND(C103*C110,2)</f>
        <v>#DIV/0!</v>
      </c>
      <c r="D111" s="2" t="s">
        <v>88</v>
      </c>
      <c r="F111" s="41"/>
      <c r="H111" s="2"/>
    </row>
    <row r="112" spans="1:8" x14ac:dyDescent="0.2">
      <c r="C112" s="23"/>
      <c r="D112" s="2" t="s">
        <v>89</v>
      </c>
      <c r="F112" s="41"/>
      <c r="H112" s="2"/>
    </row>
    <row r="113" spans="1:18" x14ac:dyDescent="0.2">
      <c r="C113" s="31"/>
      <c r="D113" s="2"/>
      <c r="F113" s="41"/>
      <c r="H113" s="2"/>
    </row>
    <row r="114" spans="1:18" x14ac:dyDescent="0.2">
      <c r="C114" s="31"/>
      <c r="D114" s="2"/>
      <c r="F114" s="41"/>
      <c r="H114" s="2"/>
    </row>
    <row r="115" spans="1:18" x14ac:dyDescent="0.2">
      <c r="A115" s="1" t="s">
        <v>90</v>
      </c>
      <c r="B115" s="2" t="s">
        <v>91</v>
      </c>
      <c r="C115" s="31"/>
      <c r="D115" s="2"/>
      <c r="F115" s="41"/>
      <c r="H115" s="2"/>
    </row>
    <row r="116" spans="1:18" x14ac:dyDescent="0.2">
      <c r="B116" s="2"/>
      <c r="C116" s="31"/>
      <c r="D116" s="2"/>
      <c r="F116" s="41"/>
      <c r="H116" s="2"/>
    </row>
    <row r="117" spans="1:18" x14ac:dyDescent="0.2">
      <c r="C117" s="46"/>
      <c r="D117" t="str">
        <f>IF(C117="YES","Repeat Steps D3 - D10","Continue to Step FC-1")</f>
        <v>Continue to Step FC-1</v>
      </c>
      <c r="E117" s="2"/>
    </row>
    <row r="118" spans="1:18" x14ac:dyDescent="0.2">
      <c r="C118" s="2"/>
      <c r="E118" s="2"/>
    </row>
    <row r="119" spans="1:18" x14ac:dyDescent="0.2">
      <c r="B119" s="1" t="str">
        <f>IF(E19="Online","Freeboard Check (Online Swales Only)","Freeboard Check Not Required for Offline Swales")</f>
        <v>Freeboard Check Not Required for Offline Swales</v>
      </c>
    </row>
    <row r="121" spans="1:18" x14ac:dyDescent="0.2">
      <c r="A121" s="1" t="s">
        <v>92</v>
      </c>
      <c r="B121" s="2" t="str">
        <f>IF(AND(E14="No",E19="Online"),"Q50yr",IF(AND(E14="Yes",E19="Online"),"Q25yr","N/A"))</f>
        <v>N/A</v>
      </c>
      <c r="C121" s="55"/>
      <c r="D121" s="71" t="str">
        <f>IF(B121="Q50yr","cfs - MGSFlood, use the 50 year 15 minute time step, see HRM.  If using station data, use the 100 year, 1 hour rate and multiply by the safety factor below.",IF(B121="Q25yr","cfs - If in Eastern Washington, use the 25 year storm event","THIS IS AN OFFLINE SWALE - THE FREEBOARD CHECK IS NOT REQUIRED"))</f>
        <v>THIS IS AN OFFLINE SWALE - THE FREEBOARD CHECK IS NOT REQUIRED</v>
      </c>
      <c r="E121" s="84"/>
      <c r="F121" s="84"/>
      <c r="G121" s="84"/>
      <c r="H121" s="84"/>
      <c r="I121" s="84"/>
      <c r="M121" s="34"/>
      <c r="R121" s="23"/>
    </row>
    <row r="122" spans="1:18" x14ac:dyDescent="0.2">
      <c r="B122" s="2"/>
      <c r="C122" s="31"/>
      <c r="D122" s="71"/>
      <c r="E122" s="84"/>
      <c r="F122" s="84"/>
      <c r="G122" s="84"/>
      <c r="H122" s="84"/>
      <c r="I122" s="84"/>
      <c r="R122" s="23"/>
    </row>
    <row r="123" spans="1:18" x14ac:dyDescent="0.2">
      <c r="B123" s="2"/>
      <c r="C123" s="31"/>
      <c r="D123" s="84"/>
      <c r="E123" s="84"/>
      <c r="F123" s="84"/>
      <c r="G123" s="84"/>
      <c r="H123" s="84"/>
      <c r="I123" s="84"/>
      <c r="M123" s="31"/>
      <c r="R123" s="23"/>
    </row>
    <row r="124" spans="1:18" x14ac:dyDescent="0.2">
      <c r="C124" s="55"/>
      <c r="D124" s="2" t="str">
        <f>IF(B121="N/A","",IF(B121="Q50yr","Safety Factor (For MGSFlood, 1.0 if using extended time series, 1.6 if using station data)",IF(B121="Q25yr","Safety Factor - For SBUH or SCS, use 1.0","Safety Factor")))</f>
        <v/>
      </c>
      <c r="M124" s="23"/>
      <c r="R124" s="23"/>
    </row>
    <row r="125" spans="1:18" ht="15.75" x14ac:dyDescent="0.3">
      <c r="B125" t="s">
        <v>93</v>
      </c>
      <c r="C125" s="31">
        <f>C121*C124</f>
        <v>0</v>
      </c>
      <c r="D125" t="str">
        <f>IF(B121="N/A","",IF(E14="NO","cfs - Q50yr x saftey factor","cfs - Q25yr x saftey factor"))</f>
        <v/>
      </c>
      <c r="M125" s="31"/>
      <c r="R125" s="31"/>
    </row>
    <row r="126" spans="1:18" x14ac:dyDescent="0.2">
      <c r="A126" s="1" t="s">
        <v>94</v>
      </c>
      <c r="B126" t="s">
        <v>50</v>
      </c>
      <c r="C126" s="31">
        <v>0.03</v>
      </c>
      <c r="D126" t="s">
        <v>95</v>
      </c>
      <c r="M126" s="35"/>
      <c r="R126" s="39"/>
    </row>
    <row r="127" spans="1:18" x14ac:dyDescent="0.2">
      <c r="A127" s="1" t="s">
        <v>96</v>
      </c>
      <c r="B127" t="s">
        <v>97</v>
      </c>
      <c r="C127" s="20"/>
      <c r="D127" s="2" t="s">
        <v>64</v>
      </c>
      <c r="M127" s="31"/>
      <c r="Q127" s="2"/>
      <c r="R127" s="31"/>
    </row>
    <row r="128" spans="1:18" x14ac:dyDescent="0.2">
      <c r="B128" s="2" t="s">
        <v>45</v>
      </c>
      <c r="C128" s="31">
        <f>0.5*C127*(C131+C131+C132*C127+C133*C127)</f>
        <v>0</v>
      </c>
      <c r="D128" s="2" t="s">
        <v>46</v>
      </c>
      <c r="E128" s="31"/>
      <c r="N128" s="31"/>
      <c r="Q128" s="2"/>
      <c r="R128" s="31"/>
    </row>
    <row r="129" spans="1:18" x14ac:dyDescent="0.2">
      <c r="B129" s="2" t="s">
        <v>47</v>
      </c>
      <c r="C129" s="23" t="e">
        <f>C128/(C131+(C127/(COS(ATAN(C132/1))))+(C127/(COS(ATAN(C133/1)))))</f>
        <v>#DIV/0!</v>
      </c>
      <c r="D129" s="2" t="s">
        <v>48</v>
      </c>
      <c r="E129" s="31"/>
      <c r="N129" s="31"/>
      <c r="R129" s="40"/>
    </row>
    <row r="130" spans="1:18" x14ac:dyDescent="0.2">
      <c r="B130" s="2" t="s">
        <v>98</v>
      </c>
      <c r="C130" s="23">
        <f>C24</f>
        <v>0</v>
      </c>
      <c r="D130" s="2" t="s">
        <v>49</v>
      </c>
      <c r="R130" s="31"/>
    </row>
    <row r="131" spans="1:18" ht="12.75" customHeight="1" x14ac:dyDescent="0.2">
      <c r="B131" t="s">
        <v>52</v>
      </c>
      <c r="C131" s="39">
        <f>D93</f>
        <v>0</v>
      </c>
      <c r="D131" s="2" t="s">
        <v>74</v>
      </c>
      <c r="E131" s="31"/>
      <c r="F131" s="2"/>
      <c r="G131" s="2"/>
      <c r="H131" s="2"/>
      <c r="I131" s="2"/>
      <c r="J131" s="2"/>
      <c r="N131" s="34"/>
      <c r="R131" s="23"/>
    </row>
    <row r="132" spans="1:18" ht="15.75" x14ac:dyDescent="0.3">
      <c r="B132" s="2" t="s">
        <v>54</v>
      </c>
      <c r="C132" s="39">
        <f>D94</f>
        <v>0</v>
      </c>
      <c r="D132" t="s">
        <v>55</v>
      </c>
      <c r="F132" s="2"/>
      <c r="G132" s="2"/>
      <c r="H132" s="2"/>
      <c r="I132" s="2"/>
      <c r="J132" s="2"/>
    </row>
    <row r="133" spans="1:18" ht="15.75" x14ac:dyDescent="0.3">
      <c r="B133" s="2" t="s">
        <v>56</v>
      </c>
      <c r="C133" s="39">
        <f>D95</f>
        <v>0</v>
      </c>
      <c r="D133" t="s">
        <v>55</v>
      </c>
      <c r="F133" s="2"/>
      <c r="G133" s="2"/>
      <c r="H133" s="2"/>
      <c r="I133" s="2"/>
      <c r="J133" s="2"/>
      <c r="N133" s="31"/>
      <c r="O133" s="2"/>
    </row>
    <row r="135" spans="1:18" ht="15.75" customHeight="1" x14ac:dyDescent="0.3">
      <c r="B135" s="2" t="s">
        <v>93</v>
      </c>
      <c r="C135" s="47" t="e">
        <f>(1.49*C128*(C129^(2/3))*(C130^0.5))/C126</f>
        <v>#DIV/0!</v>
      </c>
      <c r="D135" s="77" t="s">
        <v>99</v>
      </c>
      <c r="E135" s="78"/>
      <c r="F135" s="78"/>
      <c r="G135" s="78"/>
      <c r="H135" s="78"/>
      <c r="I135" s="70"/>
      <c r="J135" s="70"/>
    </row>
    <row r="136" spans="1:18" x14ac:dyDescent="0.2">
      <c r="D136" s="78"/>
      <c r="E136" s="78"/>
      <c r="F136" s="78"/>
      <c r="G136" s="78"/>
      <c r="H136" s="78"/>
      <c r="I136" s="70"/>
      <c r="J136" s="70"/>
    </row>
    <row r="137" spans="1:18" x14ac:dyDescent="0.2">
      <c r="D137" s="78"/>
      <c r="E137" s="78"/>
      <c r="F137" s="78"/>
      <c r="G137" s="78"/>
      <c r="H137" s="78"/>
    </row>
    <row r="138" spans="1:18" ht="15.75" x14ac:dyDescent="0.3">
      <c r="A138" s="1" t="s">
        <v>100</v>
      </c>
      <c r="B138" s="2" t="s">
        <v>101</v>
      </c>
      <c r="C138" s="48">
        <f>1+C127</f>
        <v>1</v>
      </c>
      <c r="D138" s="77" t="s">
        <v>102</v>
      </c>
      <c r="E138" s="77"/>
      <c r="F138" s="77"/>
      <c r="G138" s="77"/>
      <c r="H138" s="77"/>
      <c r="I138" s="77"/>
      <c r="J138" s="77"/>
      <c r="K138" s="77"/>
    </row>
    <row r="139" spans="1:18" x14ac:dyDescent="0.2">
      <c r="D139" s="77"/>
      <c r="E139" s="77"/>
      <c r="F139" s="77"/>
      <c r="G139" s="77"/>
      <c r="H139" s="77"/>
      <c r="I139" s="77"/>
      <c r="J139" s="77"/>
      <c r="K139" s="77"/>
    </row>
    <row r="140" spans="1:18" ht="13.5" thickBot="1" x14ac:dyDescent="0.25">
      <c r="E140" s="31"/>
    </row>
    <row r="141" spans="1:18" ht="12.75" customHeight="1" thickBot="1" x14ac:dyDescent="0.25">
      <c r="B141" s="85" t="s">
        <v>103</v>
      </c>
      <c r="C141" s="86"/>
      <c r="D141" s="86"/>
      <c r="E141" s="86"/>
      <c r="F141" s="87"/>
      <c r="G141" s="70"/>
      <c r="H141" s="70"/>
      <c r="I141" s="70"/>
      <c r="J141" s="70"/>
    </row>
    <row r="142" spans="1:18" x14ac:dyDescent="0.2">
      <c r="B142" s="88" t="s">
        <v>104</v>
      </c>
      <c r="C142" s="89"/>
      <c r="D142" s="89"/>
      <c r="E142" s="21" t="e">
        <f>C111</f>
        <v>#DIV/0!</v>
      </c>
      <c r="F142" s="42" t="s">
        <v>105</v>
      </c>
      <c r="G142" s="58" t="e">
        <f>IF(AND(E142&lt;100,E142=C111),"&lt;----Note minimum swale length = 100 ft",IF(E142=C111,"","&lt;----Swale length was manually changed"))</f>
        <v>#DIV/0!</v>
      </c>
      <c r="H142" s="58"/>
      <c r="I142" s="70"/>
      <c r="J142" s="70"/>
    </row>
    <row r="143" spans="1:18" ht="12.75" customHeight="1" x14ac:dyDescent="0.2">
      <c r="B143" s="72" t="s">
        <v>106</v>
      </c>
      <c r="C143" s="73"/>
      <c r="D143" s="73"/>
      <c r="E143" s="64">
        <f>D93</f>
        <v>0</v>
      </c>
      <c r="F143" s="43" t="s">
        <v>105</v>
      </c>
      <c r="G143" s="58" t="str">
        <f>IF(E143&lt;2,"&lt;----NOTE MINIMUM SWALE BOTTOM WIDTH = 2 FT","")</f>
        <v>&lt;----NOTE MINIMUM SWALE BOTTOM WIDTH = 2 FT</v>
      </c>
      <c r="H143" s="37"/>
      <c r="I143" s="37"/>
      <c r="J143" s="37"/>
    </row>
    <row r="144" spans="1:18" ht="12.75" customHeight="1" x14ac:dyDescent="0.2">
      <c r="B144" s="90" t="s">
        <v>107</v>
      </c>
      <c r="C144" s="91"/>
      <c r="D144" s="92"/>
      <c r="E144" s="65">
        <f>D91</f>
        <v>0</v>
      </c>
      <c r="F144" s="43" t="s">
        <v>24</v>
      </c>
      <c r="G144" s="58" t="str">
        <f>IF(E144&lt;0.015,"&lt;--See HRM Table 4-5 for minimum longitudinal slope",IF(E144&gt;0.05,"See Note 1 of HRM Table 5-4.",""))</f>
        <v>&lt;--See HRM Table 4-5 for minimum longitudinal slope</v>
      </c>
      <c r="H144" s="37"/>
      <c r="I144" s="37"/>
      <c r="J144" s="37"/>
    </row>
    <row r="145" spans="2:10" ht="18.75" x14ac:dyDescent="0.3">
      <c r="B145" s="93" t="s">
        <v>108</v>
      </c>
      <c r="C145" s="94"/>
      <c r="D145" s="94"/>
      <c r="E145" s="64">
        <f>C132</f>
        <v>0</v>
      </c>
      <c r="F145" s="43"/>
      <c r="G145" s="37"/>
      <c r="H145" s="37"/>
      <c r="I145" s="37"/>
      <c r="J145" s="37"/>
    </row>
    <row r="146" spans="2:10" ht="18.75" x14ac:dyDescent="0.3">
      <c r="B146" s="93" t="s">
        <v>109</v>
      </c>
      <c r="C146" s="94"/>
      <c r="D146" s="94"/>
      <c r="E146" s="64">
        <f>C133</f>
        <v>0</v>
      </c>
      <c r="F146" s="43"/>
      <c r="G146" s="37"/>
      <c r="H146" s="37"/>
      <c r="I146" s="37"/>
      <c r="J146" s="37"/>
    </row>
    <row r="147" spans="2:10" x14ac:dyDescent="0.2">
      <c r="B147" s="72" t="s">
        <v>110</v>
      </c>
      <c r="C147" s="73"/>
      <c r="D147" s="73"/>
      <c r="E147" s="66">
        <f>D96</f>
        <v>0</v>
      </c>
      <c r="F147" s="43" t="s">
        <v>105</v>
      </c>
    </row>
    <row r="148" spans="2:10" ht="13.5" thickBot="1" x14ac:dyDescent="0.25">
      <c r="B148" s="95" t="str">
        <f>IF(E19="online","Swale Depth (includes 1 ft Freeboard)","Swale Depth = WQ Depth for offline swales")</f>
        <v>Swale Depth = WQ Depth for offline swales</v>
      </c>
      <c r="C148" s="96"/>
      <c r="D148" s="96"/>
      <c r="E148" s="22">
        <f>IF(E19="online",C138,E147)</f>
        <v>0</v>
      </c>
      <c r="F148" s="44" t="s">
        <v>105</v>
      </c>
    </row>
    <row r="149" spans="2:10" x14ac:dyDescent="0.2">
      <c r="E149" s="28"/>
    </row>
  </sheetData>
  <sheetProtection password="8E70" sheet="1"/>
  <mergeCells count="17">
    <mergeCell ref="B144:D144"/>
    <mergeCell ref="B145:D145"/>
    <mergeCell ref="B146:D146"/>
    <mergeCell ref="B147:D147"/>
    <mergeCell ref="B148:D148"/>
    <mergeCell ref="B143:D143"/>
    <mergeCell ref="D16:G16"/>
    <mergeCell ref="D28:J28"/>
    <mergeCell ref="B36:H37"/>
    <mergeCell ref="D58:H60"/>
    <mergeCell ref="C27:J27"/>
    <mergeCell ref="D78:H80"/>
    <mergeCell ref="D121:I123"/>
    <mergeCell ref="D135:H137"/>
    <mergeCell ref="D138:K139"/>
    <mergeCell ref="B141:F141"/>
    <mergeCell ref="B142:D142"/>
  </mergeCells>
  <conditionalFormatting sqref="B119:F119">
    <cfRule type="expression" dxfId="2" priority="1" stopIfTrue="1">
      <formula>$E$19="offline"</formula>
    </cfRule>
  </conditionalFormatting>
  <dataValidations count="4">
    <dataValidation type="list" allowBlank="1" showInputMessage="1" showErrorMessage="1" sqref="E19" xr:uid="{1B7F5A22-AF0F-4FA8-B141-87F19590AD47}">
      <formula1>"online,offline"</formula1>
    </dataValidation>
    <dataValidation type="list" allowBlank="1" showInputMessage="1" showErrorMessage="1" sqref="C27" xr:uid="{AD869CF0-A4C3-45D5-9C37-BCC1E6E84CF4}">
      <formula1>SoilCover</formula1>
    </dataValidation>
    <dataValidation type="list" allowBlank="1" showInputMessage="1" showErrorMessage="1" sqref="E14:E15 C117" xr:uid="{9DF322C4-33D9-4467-8AB0-B31A6A531650}">
      <formula1>"Yes,No"</formula1>
    </dataValidation>
    <dataValidation type="list" allowBlank="1" showInputMessage="1" showErrorMessage="1" sqref="D16:G16" xr:uid="{69A0F92F-C6D0-419B-BD40-75B63A2C3A99}">
      <formula1>"N/A,6-month 24 hr precip depth (in),2-year 24 hr precip depth (in)"</formula1>
    </dataValidation>
  </dataValidations>
  <printOptions horizontalCentered="1"/>
  <pageMargins left="0.25" right="0.25" top="0.25" bottom="0.75" header="0.25" footer="0.5"/>
  <pageSetup scale="60" fitToHeight="2" orientation="portrait" r:id="rId1"/>
  <headerFooter alignWithMargins="0">
    <oddFooter>&amp;L&amp;F&amp;R&amp;D  &amp;T  Version 2.1</oddFooter>
  </headerFooter>
  <drawing r:id="rId2"/>
  <legacyDrawing r:id="rId3"/>
  <oleObjects>
    <mc:AlternateContent xmlns:mc="http://schemas.openxmlformats.org/markup-compatibility/2006">
      <mc:Choice Requires="x14">
        <oleObject progId="Equation.3" shapeId="10241" r:id="rId4">
          <objectPr defaultSize="0" autoPict="0" r:id="rId5">
            <anchor moveWithCells="1">
              <from>
                <xdr:col>1</xdr:col>
                <xdr:colOff>581025</xdr:colOff>
                <xdr:row>37</xdr:row>
                <xdr:rowOff>57150</xdr:rowOff>
              </from>
              <to>
                <xdr:col>2</xdr:col>
                <xdr:colOff>1133475</xdr:colOff>
                <xdr:row>40</xdr:row>
                <xdr:rowOff>152400</xdr:rowOff>
              </to>
            </anchor>
          </objectPr>
        </oleObject>
      </mc:Choice>
      <mc:Fallback>
        <oleObject progId="Equation.3" shapeId="10241" r:id="rId4"/>
      </mc:Fallback>
    </mc:AlternateContent>
    <mc:AlternateContent xmlns:mc="http://schemas.openxmlformats.org/markup-compatibility/2006">
      <mc:Choice Requires="x14">
        <oleObject progId="Equation.3" shapeId="10242" r:id="rId6">
          <objectPr defaultSize="0" autoPict="0" r:id="rId7">
            <anchor moveWithCells="1">
              <from>
                <xdr:col>3</xdr:col>
                <xdr:colOff>476250</xdr:colOff>
                <xdr:row>37</xdr:row>
                <xdr:rowOff>123825</xdr:rowOff>
              </from>
              <to>
                <xdr:col>6</xdr:col>
                <xdr:colOff>247650</xdr:colOff>
                <xdr:row>40</xdr:row>
                <xdr:rowOff>142875</xdr:rowOff>
              </to>
            </anchor>
          </objectPr>
        </oleObject>
      </mc:Choice>
      <mc:Fallback>
        <oleObject progId="Equation.3" shapeId="10242" r:id="rId6"/>
      </mc:Fallback>
    </mc:AlternateContent>
    <mc:AlternateContent xmlns:mc="http://schemas.openxmlformats.org/markup-compatibility/2006">
      <mc:Choice Requires="x14">
        <oleObject progId="Equation.3" shapeId="10243" r:id="rId8">
          <objectPr defaultSize="0" autoPict="0" r:id="rId9">
            <anchor moveWithCells="1">
              <from>
                <xdr:col>1</xdr:col>
                <xdr:colOff>133350</xdr:colOff>
                <xdr:row>98</xdr:row>
                <xdr:rowOff>57150</xdr:rowOff>
              </from>
              <to>
                <xdr:col>2</xdr:col>
                <xdr:colOff>638175</xdr:colOff>
                <xdr:row>101</xdr:row>
                <xdr:rowOff>66675</xdr:rowOff>
              </to>
            </anchor>
          </objectPr>
        </oleObject>
      </mc:Choice>
      <mc:Fallback>
        <oleObject progId="Equation.3" shapeId="10243" r:id="rId8"/>
      </mc:Fallback>
    </mc:AlternateContent>
    <mc:AlternateContent xmlns:mc="http://schemas.openxmlformats.org/markup-compatibility/2006">
      <mc:Choice Requires="x14">
        <oleObject progId="Equation.3" shapeId="10244" r:id="rId10">
          <objectPr defaultSize="0" autoPict="0" r:id="rId11">
            <anchor moveWithCells="1">
              <from>
                <xdr:col>1</xdr:col>
                <xdr:colOff>152400</xdr:colOff>
                <xdr:row>107</xdr:row>
                <xdr:rowOff>0</xdr:rowOff>
              </from>
              <to>
                <xdr:col>2</xdr:col>
                <xdr:colOff>619125</xdr:colOff>
                <xdr:row>108</xdr:row>
                <xdr:rowOff>133350</xdr:rowOff>
              </to>
            </anchor>
          </objectPr>
        </oleObject>
      </mc:Choice>
      <mc:Fallback>
        <oleObject progId="Equation.3" shapeId="10244" r:id="rId10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97E01D-E2E3-4C62-AACD-5DC18BA972E0}">
  <sheetPr>
    <pageSetUpPr fitToPage="1"/>
  </sheetPr>
  <dimension ref="A1:P139"/>
  <sheetViews>
    <sheetView zoomScale="85" zoomScaleNormal="85" workbookViewId="0">
      <selection activeCell="E129" sqref="E129"/>
    </sheetView>
  </sheetViews>
  <sheetFormatPr defaultColWidth="8.85546875" defaultRowHeight="12.75" x14ac:dyDescent="0.2"/>
  <cols>
    <col min="1" max="1" width="7.5703125" style="1" customWidth="1"/>
    <col min="2" max="2" width="12.42578125" customWidth="1"/>
    <col min="3" max="3" width="21.28515625" customWidth="1"/>
    <col min="10" max="10" width="18.140625" bestFit="1" customWidth="1"/>
    <col min="14" max="14" width="13.85546875" customWidth="1"/>
  </cols>
  <sheetData>
    <row r="1" spans="1:13" x14ac:dyDescent="0.2">
      <c r="A1" s="11"/>
      <c r="B1" s="12" t="s">
        <v>111</v>
      </c>
      <c r="C1" s="13"/>
      <c r="D1" s="14"/>
      <c r="E1" s="14"/>
      <c r="F1" s="14"/>
      <c r="G1" s="14"/>
      <c r="H1" s="14"/>
      <c r="I1" s="14"/>
      <c r="J1" s="14"/>
      <c r="K1" s="14"/>
      <c r="L1" s="14"/>
      <c r="M1" s="14"/>
    </row>
    <row r="2" spans="1:13" x14ac:dyDescent="0.2">
      <c r="A2" s="15"/>
      <c r="B2" s="16" t="s">
        <v>5</v>
      </c>
      <c r="C2" s="16"/>
      <c r="D2" s="15"/>
      <c r="E2" s="15"/>
      <c r="F2" s="15"/>
      <c r="G2" s="15"/>
      <c r="H2" s="15" t="s">
        <v>6</v>
      </c>
      <c r="I2" s="15"/>
      <c r="J2" s="15"/>
      <c r="K2" s="15"/>
      <c r="L2" s="15"/>
      <c r="M2" s="14"/>
    </row>
    <row r="3" spans="1:13" x14ac:dyDescent="0.2">
      <c r="A3" s="15"/>
      <c r="B3" s="16" t="s">
        <v>7</v>
      </c>
      <c r="C3" s="16"/>
      <c r="D3" s="15"/>
      <c r="E3" s="15"/>
      <c r="F3" s="15"/>
      <c r="G3" s="15"/>
      <c r="H3" s="15" t="s">
        <v>8</v>
      </c>
      <c r="I3" s="15"/>
      <c r="J3" s="15"/>
      <c r="K3" s="15"/>
      <c r="L3" s="15"/>
      <c r="M3" s="14"/>
    </row>
    <row r="4" spans="1:13" x14ac:dyDescent="0.2">
      <c r="A4" s="15"/>
      <c r="B4" s="16"/>
      <c r="C4" s="16"/>
      <c r="D4" s="15"/>
      <c r="E4" s="15"/>
      <c r="F4" s="15"/>
      <c r="G4" s="15"/>
      <c r="H4" s="15"/>
      <c r="I4" s="15"/>
      <c r="J4" s="15"/>
      <c r="K4" s="15"/>
      <c r="L4" s="15"/>
      <c r="M4" s="14"/>
    </row>
    <row r="5" spans="1:13" ht="15.75" x14ac:dyDescent="0.25">
      <c r="A5" s="16"/>
      <c r="B5" s="26" t="s">
        <v>112</v>
      </c>
      <c r="C5" s="16"/>
      <c r="D5" s="14"/>
      <c r="E5" s="14"/>
      <c r="F5" s="14"/>
      <c r="G5" s="14"/>
      <c r="H5" s="14"/>
      <c r="I5" s="14"/>
      <c r="J5" s="14"/>
      <c r="K5" s="14"/>
      <c r="L5" s="14"/>
      <c r="M5" s="14"/>
    </row>
    <row r="6" spans="1:13" ht="15.75" x14ac:dyDescent="0.25">
      <c r="A6" s="25"/>
      <c r="B6" s="26"/>
      <c r="C6" s="25"/>
    </row>
    <row r="7" spans="1:13" x14ac:dyDescent="0.2">
      <c r="B7" s="1" t="s">
        <v>10</v>
      </c>
    </row>
    <row r="8" spans="1:13" ht="14.25" x14ac:dyDescent="0.25">
      <c r="A8" s="1" t="s">
        <v>11</v>
      </c>
      <c r="B8" s="1" t="s">
        <v>12</v>
      </c>
    </row>
    <row r="10" spans="1:13" ht="15.75" x14ac:dyDescent="0.3">
      <c r="B10" t="s">
        <v>13</v>
      </c>
      <c r="C10" s="51"/>
      <c r="D10" t="s">
        <v>14</v>
      </c>
    </row>
    <row r="11" spans="1:13" x14ac:dyDescent="0.2">
      <c r="D11" t="s">
        <v>15</v>
      </c>
    </row>
    <row r="13" spans="1:13" ht="14.25" x14ac:dyDescent="0.25">
      <c r="A13" s="1" t="s">
        <v>16</v>
      </c>
      <c r="B13" s="1" t="s">
        <v>113</v>
      </c>
    </row>
    <row r="14" spans="1:13" x14ac:dyDescent="0.2">
      <c r="B14" s="27"/>
      <c r="C14" s="27" t="s">
        <v>114</v>
      </c>
      <c r="E14" s="52"/>
      <c r="F14" s="56" t="str">
        <f>IF(E14="","&lt;------- Choose Yes or No",IF(E14="Yes","Qwq=Qbiofil; Skip to Step D-3",""))</f>
        <v>&lt;------- Choose Yes or No</v>
      </c>
      <c r="H14" s="28"/>
    </row>
    <row r="15" spans="1:13" x14ac:dyDescent="0.2">
      <c r="B15" s="27"/>
      <c r="C15" s="27"/>
      <c r="E15" s="29"/>
      <c r="F15" s="28"/>
      <c r="H15" s="28"/>
    </row>
    <row r="16" spans="1:13" ht="13.15" customHeight="1" x14ac:dyDescent="0.2">
      <c r="B16" s="57" t="str">
        <f>IF(E14="","",IF(AND(E14="YES",ISNUMBER(C16)),"Leave Blank---&gt;",IF(AND(E14="YES",C16=""),"",IF(C16="","Enter Precip Value ---&gt;",""))))</f>
        <v/>
      </c>
      <c r="C16" s="53"/>
      <c r="D16" s="74"/>
      <c r="E16" s="75"/>
      <c r="F16" s="75"/>
      <c r="G16" s="76"/>
      <c r="H16" s="58" t="str">
        <f>IF(E14="","Choose YES or NO for box E14 above",IF(AND(E14="YES",D16="N/A"),"",IF(E14="YES","&lt;--Choose N/A",IF(OR(D16="",D16="N/A"),"&lt;--Choose either the 2-yr OR the 6-month precipitation",""))))</f>
        <v>Choose YES or NO for box E14 above</v>
      </c>
    </row>
    <row r="17" spans="1:11" x14ac:dyDescent="0.2">
      <c r="B17" s="30" t="str">
        <f>IF(OR(E14="",E14="YES"),"",IF(D16="2-year 24 hr precip depth (in)","P72%, 2-yr",""))</f>
        <v/>
      </c>
      <c r="C17" s="31" t="str">
        <f>IF(OR(E14="",E14="YES"),"",IF(D16="2-year 24 hr precip depth (in)",C16*0.72,""))</f>
        <v/>
      </c>
      <c r="D17" s="28" t="str">
        <f>IF(OR(E14="",E14="YES"),"",IF(D16="2-year 24 hr precip depth (in)","  72% of the 2-year 24 hr precip depth (in)",""))</f>
        <v/>
      </c>
    </row>
    <row r="18" spans="1:11" x14ac:dyDescent="0.2">
      <c r="B18" s="30"/>
      <c r="C18" s="31"/>
      <c r="D18" s="28"/>
    </row>
    <row r="19" spans="1:11" x14ac:dyDescent="0.2">
      <c r="B19" s="2" t="s">
        <v>115</v>
      </c>
      <c r="C19" s="2"/>
      <c r="E19" s="6" t="s">
        <v>116</v>
      </c>
      <c r="F19" s="58" t="str">
        <f>IF(E14="","",IF(E19="","&lt;--Choose online or offline",""))</f>
        <v/>
      </c>
      <c r="H19" s="58"/>
    </row>
    <row r="21" spans="1:11" ht="15.75" x14ac:dyDescent="0.3">
      <c r="B21" s="30" t="s">
        <v>19</v>
      </c>
      <c r="C21" s="23">
        <f>IF(E14="Yes",C10,C10*(IF(AND(E19="online",D16="2-year 24 hr precip depth (in)"),1.41*C17-0.052,IF(AND(E19="online",D16="6-month 24 hr precip depth (in)"),1.41*C16-0.052,(IF(AND(E19="offline",D16="2-year 24 hr precip depth (in)"),2.5*C17-0.052,IF(AND(E19="offline",D16="6-month 24 hr precip depth (in)"),2.52*C16-0.052)))))))</f>
        <v>0</v>
      </c>
      <c r="D21" t="s">
        <v>20</v>
      </c>
    </row>
    <row r="23" spans="1:11" x14ac:dyDescent="0.2">
      <c r="A23" s="1" t="s">
        <v>21</v>
      </c>
      <c r="B23" s="1" t="s">
        <v>117</v>
      </c>
    </row>
    <row r="24" spans="1:11" x14ac:dyDescent="0.2">
      <c r="B24" s="27" t="s">
        <v>23</v>
      </c>
      <c r="C24" s="51"/>
      <c r="D24" s="28" t="s">
        <v>24</v>
      </c>
    </row>
    <row r="25" spans="1:11" x14ac:dyDescent="0.2">
      <c r="B25" s="27"/>
      <c r="C25" s="23"/>
      <c r="D25" s="28"/>
    </row>
    <row r="26" spans="1:11" ht="13.15" customHeight="1" x14ac:dyDescent="0.2">
      <c r="B26" s="27"/>
      <c r="C26" s="104" t="str">
        <f>IF(C24&gt;0.02,"Maximum longitudinal slope for wet bioswales is 0.02 (2.0%), wet bioswales greater than 2.0% must be stepped using walls, berms, check dams, short rip rap sections, or similar structures so sections average a slope of 2.0% or flatter","")</f>
        <v/>
      </c>
      <c r="D26" s="104"/>
      <c r="E26" s="104"/>
      <c r="F26" s="104"/>
      <c r="G26" s="104"/>
      <c r="H26" s="104"/>
      <c r="I26" s="104"/>
      <c r="J26" s="104"/>
      <c r="K26" s="104"/>
    </row>
    <row r="27" spans="1:11" x14ac:dyDescent="0.2">
      <c r="C27" s="104"/>
      <c r="D27" s="104"/>
      <c r="E27" s="104"/>
      <c r="F27" s="104"/>
      <c r="G27" s="104"/>
      <c r="H27" s="104"/>
      <c r="I27" s="104"/>
      <c r="J27" s="104"/>
      <c r="K27" s="104"/>
    </row>
    <row r="28" spans="1:11" x14ac:dyDescent="0.2">
      <c r="A28" s="1" t="s">
        <v>25</v>
      </c>
      <c r="B28" s="1" t="s">
        <v>118</v>
      </c>
    </row>
    <row r="29" spans="1:11" ht="13.15" customHeight="1" x14ac:dyDescent="0.2">
      <c r="B29" s="2" t="s">
        <v>27</v>
      </c>
      <c r="C29" s="81"/>
      <c r="D29" s="82"/>
      <c r="E29" s="82"/>
      <c r="F29" s="82"/>
      <c r="G29" s="82"/>
      <c r="H29" s="82"/>
      <c r="I29" s="82"/>
      <c r="J29" s="83"/>
      <c r="K29" t="s">
        <v>28</v>
      </c>
    </row>
    <row r="30" spans="1:11" x14ac:dyDescent="0.2">
      <c r="B30" s="27" t="s">
        <v>29</v>
      </c>
      <c r="C30" s="32" t="str">
        <f>IF(C29="","",IF(C29=Tables!A3,Tables!B3,IF(C29=Tables!A4,Tables!B4,IF(C29=Tables!A5,Tables!B5,Error))))</f>
        <v/>
      </c>
      <c r="D30" s="77" t="s">
        <v>30</v>
      </c>
      <c r="E30" s="78"/>
      <c r="F30" s="78"/>
      <c r="G30" s="78"/>
      <c r="H30" s="78"/>
      <c r="I30" s="78"/>
      <c r="J30" s="78"/>
    </row>
    <row r="31" spans="1:11" x14ac:dyDescent="0.2">
      <c r="C31" s="69"/>
      <c r="D31" s="69"/>
      <c r="E31" s="69"/>
      <c r="F31" s="69"/>
      <c r="G31" s="69"/>
      <c r="H31" s="69"/>
      <c r="I31" s="69"/>
    </row>
    <row r="32" spans="1:11" x14ac:dyDescent="0.2">
      <c r="A32" s="1" t="s">
        <v>31</v>
      </c>
      <c r="B32" s="1" t="s">
        <v>32</v>
      </c>
    </row>
    <row r="34" spans="1:14" x14ac:dyDescent="0.2">
      <c r="B34" s="30" t="s">
        <v>33</v>
      </c>
      <c r="C34" s="59">
        <v>0.33</v>
      </c>
      <c r="D34" t="s">
        <v>119</v>
      </c>
    </row>
    <row r="36" spans="1:14" x14ac:dyDescent="0.2">
      <c r="A36" s="1" t="s">
        <v>35</v>
      </c>
      <c r="B36" s="1" t="s">
        <v>36</v>
      </c>
    </row>
    <row r="38" spans="1:14" x14ac:dyDescent="0.2">
      <c r="A38" s="1" t="s">
        <v>37</v>
      </c>
      <c r="B38" s="79" t="s">
        <v>38</v>
      </c>
      <c r="C38" s="80"/>
      <c r="D38" s="80"/>
      <c r="E38" s="80"/>
      <c r="F38" s="80"/>
      <c r="G38" s="80"/>
      <c r="H38" s="80"/>
      <c r="J38" s="33"/>
      <c r="L38" s="31"/>
    </row>
    <row r="39" spans="1:14" x14ac:dyDescent="0.2">
      <c r="B39" s="80"/>
      <c r="C39" s="80"/>
      <c r="D39" s="80"/>
      <c r="E39" s="80"/>
      <c r="F39" s="80"/>
      <c r="G39" s="80"/>
      <c r="H39" s="80"/>
    </row>
    <row r="40" spans="1:14" x14ac:dyDescent="0.2">
      <c r="B40" s="70"/>
      <c r="C40" s="70"/>
      <c r="D40" s="70"/>
      <c r="E40" s="70"/>
      <c r="F40" s="70"/>
      <c r="G40" s="70"/>
      <c r="H40" s="70"/>
    </row>
    <row r="42" spans="1:14" x14ac:dyDescent="0.2">
      <c r="H42" t="s">
        <v>39</v>
      </c>
    </row>
    <row r="45" spans="1:14" x14ac:dyDescent="0.2">
      <c r="C45" t="s">
        <v>40</v>
      </c>
    </row>
    <row r="46" spans="1:14" ht="17.45" customHeight="1" x14ac:dyDescent="0.2"/>
    <row r="47" spans="1:14" x14ac:dyDescent="0.2">
      <c r="B47" s="1" t="s">
        <v>41</v>
      </c>
    </row>
    <row r="48" spans="1:14" ht="15.75" x14ac:dyDescent="0.3">
      <c r="A48" s="1" t="s">
        <v>42</v>
      </c>
      <c r="B48" s="2" t="s">
        <v>43</v>
      </c>
      <c r="C48" s="23">
        <f>C21</f>
        <v>0</v>
      </c>
      <c r="D48" s="2" t="s">
        <v>44</v>
      </c>
      <c r="N48" s="34"/>
    </row>
    <row r="49" spans="2:16" x14ac:dyDescent="0.2">
      <c r="B49" t="s">
        <v>45</v>
      </c>
      <c r="C49" s="23">
        <f>0.5*C56*(C53+C53+C54*C56+C55*C56)</f>
        <v>0</v>
      </c>
      <c r="D49" s="2" t="s">
        <v>46</v>
      </c>
    </row>
    <row r="50" spans="2:16" x14ac:dyDescent="0.2">
      <c r="B50" t="s">
        <v>47</v>
      </c>
      <c r="C50" s="23">
        <f>C49/(C53+(C56/(COS(ATAN(C54/1))))+(C56/(COS(ATAN(C55/1)))))</f>
        <v>0</v>
      </c>
      <c r="D50" s="2" t="s">
        <v>48</v>
      </c>
      <c r="N50" s="31"/>
    </row>
    <row r="51" spans="2:16" x14ac:dyDescent="0.2">
      <c r="B51" t="s">
        <v>23</v>
      </c>
      <c r="C51" s="23">
        <f>C24</f>
        <v>0</v>
      </c>
      <c r="D51" s="2" t="s">
        <v>49</v>
      </c>
      <c r="N51" s="23"/>
    </row>
    <row r="52" spans="2:16" x14ac:dyDescent="0.2">
      <c r="B52" t="s">
        <v>50</v>
      </c>
      <c r="C52" s="31" t="str">
        <f>C30</f>
        <v/>
      </c>
      <c r="D52" s="2" t="s">
        <v>51</v>
      </c>
      <c r="N52" s="31"/>
    </row>
    <row r="53" spans="2:16" x14ac:dyDescent="0.2">
      <c r="B53" t="s">
        <v>52</v>
      </c>
      <c r="C53" s="17"/>
      <c r="D53" s="2" t="s">
        <v>120</v>
      </c>
      <c r="N53" s="35"/>
    </row>
    <row r="54" spans="2:16" ht="15.75" x14ac:dyDescent="0.3">
      <c r="B54" s="2" t="s">
        <v>54</v>
      </c>
      <c r="C54" s="54"/>
      <c r="D54" t="s">
        <v>55</v>
      </c>
      <c r="N54" s="31"/>
    </row>
    <row r="55" spans="2:16" ht="15.75" x14ac:dyDescent="0.3">
      <c r="B55" s="2" t="s">
        <v>56</v>
      </c>
      <c r="C55" s="54"/>
      <c r="D55" t="s">
        <v>55</v>
      </c>
      <c r="N55" s="31"/>
    </row>
    <row r="56" spans="2:16" x14ac:dyDescent="0.2">
      <c r="B56" t="s">
        <v>33</v>
      </c>
      <c r="C56" s="23">
        <f>C34</f>
        <v>0.33</v>
      </c>
      <c r="D56" s="2" t="s">
        <v>57</v>
      </c>
      <c r="N56" s="31"/>
    </row>
    <row r="57" spans="2:16" x14ac:dyDescent="0.2">
      <c r="C57" s="31"/>
    </row>
    <row r="58" spans="2:16" ht="15.75" customHeight="1" x14ac:dyDescent="0.3">
      <c r="B58" t="s">
        <v>19</v>
      </c>
      <c r="C58" s="36" t="e">
        <f>(1.49*C49*(C50^(2/3))*(C51^0.5))/C52</f>
        <v>#VALUE!</v>
      </c>
      <c r="D58" s="77" t="s">
        <v>58</v>
      </c>
      <c r="E58" s="77"/>
      <c r="F58" s="77"/>
      <c r="G58" s="77"/>
      <c r="H58" s="77"/>
      <c r="N58" s="34"/>
    </row>
    <row r="59" spans="2:16" x14ac:dyDescent="0.2">
      <c r="D59" s="77"/>
      <c r="E59" s="77"/>
      <c r="F59" s="77"/>
      <c r="G59" s="77"/>
      <c r="H59" s="77"/>
    </row>
    <row r="60" spans="2:16" x14ac:dyDescent="0.2">
      <c r="B60" s="1"/>
      <c r="D60" s="77"/>
      <c r="E60" s="77"/>
      <c r="F60" s="77"/>
      <c r="G60" s="77"/>
      <c r="H60" s="77"/>
    </row>
    <row r="61" spans="2:16" ht="12.75" customHeight="1" x14ac:dyDescent="0.2">
      <c r="E61" s="34"/>
      <c r="F61" s="37"/>
      <c r="G61" s="37"/>
      <c r="H61" s="37"/>
      <c r="I61" s="37"/>
      <c r="J61" s="37"/>
      <c r="P61" s="34"/>
    </row>
    <row r="62" spans="2:16" x14ac:dyDescent="0.2">
      <c r="B62" s="58"/>
      <c r="C62" s="58" t="str">
        <f>IF(C53&gt;25,"The maximum width of a wet bioswale is 25 feet",IF(C53&lt;2,"The minimum wet bioswale bottom width is 2 feet",IF(AND(C53&lt;=25,C53&gt;=10),"Wet bioswales with bottom witdths between 10 to 25 feet must maintain a 5:1 length to width ratio","")))</f>
        <v>The minimum wet bioswale bottom width is 2 feet</v>
      </c>
      <c r="E62" s="34"/>
      <c r="F62" s="37"/>
      <c r="G62" s="37"/>
      <c r="H62" s="37"/>
      <c r="I62" s="37"/>
      <c r="J62" s="37"/>
      <c r="P62" s="34"/>
    </row>
    <row r="63" spans="2:16" x14ac:dyDescent="0.2">
      <c r="E63" s="34"/>
      <c r="F63" s="68"/>
      <c r="G63" s="68"/>
      <c r="H63" s="68"/>
      <c r="I63" s="68"/>
      <c r="J63" s="68"/>
      <c r="P63" s="34"/>
    </row>
    <row r="64" spans="2:16" x14ac:dyDescent="0.2">
      <c r="E64" s="34"/>
      <c r="F64" s="68"/>
      <c r="G64" s="68"/>
      <c r="H64" s="68"/>
      <c r="I64" s="68"/>
      <c r="J64" s="68"/>
      <c r="P64" s="34"/>
    </row>
    <row r="66" spans="1:14" x14ac:dyDescent="0.2">
      <c r="A66" s="1" t="s">
        <v>60</v>
      </c>
      <c r="B66" s="38" t="s">
        <v>61</v>
      </c>
    </row>
    <row r="67" spans="1:14" x14ac:dyDescent="0.2">
      <c r="B67" s="38" t="s">
        <v>62</v>
      </c>
    </row>
    <row r="68" spans="1:14" ht="15.75" x14ac:dyDescent="0.3">
      <c r="B68" t="s">
        <v>19</v>
      </c>
      <c r="C68" s="23">
        <f>C48</f>
        <v>0</v>
      </c>
      <c r="D68" s="2" t="s">
        <v>44</v>
      </c>
      <c r="N68" s="34"/>
    </row>
    <row r="69" spans="1:14" x14ac:dyDescent="0.2">
      <c r="B69" t="s">
        <v>45</v>
      </c>
      <c r="C69" s="23">
        <f>0.5*C76*(C73+C73+C74*C76+C75*C76)</f>
        <v>0</v>
      </c>
      <c r="D69" s="2" t="s">
        <v>46</v>
      </c>
    </row>
    <row r="70" spans="1:14" x14ac:dyDescent="0.2">
      <c r="B70" t="s">
        <v>47</v>
      </c>
      <c r="C70" s="23" t="e">
        <f>C69/(C73+(C76/(COS(ATAN(C74/1))))+(C76/(COS(ATAN(C75/1)))))</f>
        <v>#DIV/0!</v>
      </c>
      <c r="D70" s="2" t="s">
        <v>48</v>
      </c>
      <c r="N70" s="31"/>
    </row>
    <row r="71" spans="1:14" x14ac:dyDescent="0.2">
      <c r="B71" t="s">
        <v>23</v>
      </c>
      <c r="C71" s="23">
        <f>C51</f>
        <v>0</v>
      </c>
      <c r="D71" s="2" t="s">
        <v>49</v>
      </c>
      <c r="N71" s="23"/>
    </row>
    <row r="72" spans="1:14" x14ac:dyDescent="0.2">
      <c r="B72" t="s">
        <v>50</v>
      </c>
      <c r="C72" s="31" t="str">
        <f>C52</f>
        <v/>
      </c>
      <c r="D72" s="2" t="s">
        <v>51</v>
      </c>
      <c r="N72" s="31"/>
    </row>
    <row r="73" spans="1:14" x14ac:dyDescent="0.2">
      <c r="B73" t="s">
        <v>52</v>
      </c>
      <c r="C73" s="18"/>
      <c r="D73" s="2" t="s">
        <v>121</v>
      </c>
      <c r="N73" s="35"/>
    </row>
    <row r="74" spans="1:14" ht="15.75" x14ac:dyDescent="0.3">
      <c r="B74" s="2" t="s">
        <v>54</v>
      </c>
      <c r="C74" s="31">
        <f>C54</f>
        <v>0</v>
      </c>
      <c r="D74" t="s">
        <v>55</v>
      </c>
      <c r="N74" s="31"/>
    </row>
    <row r="75" spans="1:14" ht="15.75" x14ac:dyDescent="0.3">
      <c r="B75" s="2" t="s">
        <v>56</v>
      </c>
      <c r="C75" s="31">
        <f>C55</f>
        <v>0</v>
      </c>
      <c r="D75" t="s">
        <v>55</v>
      </c>
      <c r="N75" s="31"/>
    </row>
    <row r="76" spans="1:14" x14ac:dyDescent="0.2">
      <c r="B76" t="s">
        <v>33</v>
      </c>
      <c r="C76" s="19"/>
      <c r="D76" s="2" t="s">
        <v>64</v>
      </c>
      <c r="N76" s="31"/>
    </row>
    <row r="77" spans="1:14" x14ac:dyDescent="0.2">
      <c r="C77" s="31"/>
    </row>
    <row r="78" spans="1:14" ht="15.75" customHeight="1" x14ac:dyDescent="0.3">
      <c r="B78" t="s">
        <v>19</v>
      </c>
      <c r="C78" s="36" t="e">
        <f>(1.49*C69*(C70^(2/3))*(C71^0.5))/C72</f>
        <v>#DIV/0!</v>
      </c>
      <c r="D78" s="77" t="s">
        <v>65</v>
      </c>
      <c r="E78" s="77"/>
      <c r="F78" s="77"/>
      <c r="G78" s="77"/>
      <c r="H78" s="77"/>
      <c r="N78" s="34"/>
    </row>
    <row r="79" spans="1:14" x14ac:dyDescent="0.2">
      <c r="D79" s="77"/>
      <c r="E79" s="77"/>
      <c r="F79" s="77"/>
      <c r="G79" s="77"/>
      <c r="H79" s="77"/>
    </row>
    <row r="80" spans="1:14" x14ac:dyDescent="0.2">
      <c r="D80" s="77"/>
      <c r="E80" s="77"/>
      <c r="F80" s="77"/>
      <c r="G80" s="77"/>
      <c r="H80" s="77"/>
    </row>
    <row r="81" spans="1:8" x14ac:dyDescent="0.2">
      <c r="D81" s="70"/>
      <c r="E81" s="70"/>
      <c r="F81" s="70"/>
      <c r="G81" s="70"/>
      <c r="H81" s="70"/>
    </row>
    <row r="82" spans="1:8" x14ac:dyDescent="0.2">
      <c r="B82" s="58" t="str">
        <f>IF(C73&gt;25,"Maximum bottom witdh of wet biofiltraiton swale = 25 feet","")</f>
        <v/>
      </c>
      <c r="C82" s="58" t="str">
        <f>IF(C73&gt;25,"The maximum width of a wet bioswale is 25 feet",IF(C73&lt;2,"The minimum wet bioswale bottom width is 2 feet",IF(AND(C73&lt;=25,C73&gt;=10),"Wet bioswales with bottom witdths between 10 to 25 feet must maintain a 5:1 length to width ratio","")))</f>
        <v>The minimum wet bioswale bottom width is 2 feet</v>
      </c>
      <c r="D82" s="70"/>
      <c r="E82" s="70"/>
      <c r="F82" s="70"/>
      <c r="G82" s="70"/>
      <c r="H82" s="70"/>
    </row>
    <row r="83" spans="1:8" x14ac:dyDescent="0.2">
      <c r="D83" s="70"/>
      <c r="E83" s="70"/>
      <c r="F83" s="70"/>
      <c r="G83" s="70"/>
      <c r="H83" s="70"/>
    </row>
    <row r="84" spans="1:8" x14ac:dyDescent="0.2">
      <c r="D84" s="70"/>
      <c r="E84" s="70"/>
      <c r="F84" s="70"/>
      <c r="G84" s="70"/>
      <c r="H84" s="70"/>
    </row>
    <row r="85" spans="1:8" x14ac:dyDescent="0.2">
      <c r="D85" s="70"/>
      <c r="E85" s="70"/>
      <c r="F85" s="70"/>
      <c r="G85" s="70"/>
      <c r="H85" s="70"/>
    </row>
    <row r="86" spans="1:8" ht="52.15" customHeight="1" x14ac:dyDescent="0.2">
      <c r="D86" s="70"/>
      <c r="E86" s="70"/>
      <c r="F86" s="70"/>
      <c r="G86" s="70"/>
      <c r="H86" s="70"/>
    </row>
    <row r="87" spans="1:8" ht="38.450000000000003" customHeight="1" x14ac:dyDescent="0.2">
      <c r="D87" s="70"/>
      <c r="E87" s="70"/>
      <c r="F87" s="70"/>
      <c r="G87" s="70"/>
      <c r="H87" s="70"/>
    </row>
    <row r="88" spans="1:8" x14ac:dyDescent="0.2">
      <c r="A88" s="1" t="s">
        <v>66</v>
      </c>
      <c r="B88" s="1" t="s">
        <v>67</v>
      </c>
      <c r="D88" s="70"/>
      <c r="E88" s="70"/>
      <c r="F88" s="70"/>
      <c r="G88" s="70"/>
      <c r="H88" s="70"/>
    </row>
    <row r="89" spans="1:8" x14ac:dyDescent="0.2">
      <c r="B89" s="2" t="s">
        <v>68</v>
      </c>
      <c r="D89" s="51"/>
      <c r="E89" s="2" t="s">
        <v>69</v>
      </c>
    </row>
    <row r="90" spans="1:8" x14ac:dyDescent="0.2">
      <c r="B90" s="2" t="s">
        <v>70</v>
      </c>
      <c r="D90" s="51"/>
      <c r="E90" s="2" t="s">
        <v>48</v>
      </c>
    </row>
    <row r="91" spans="1:8" x14ac:dyDescent="0.2">
      <c r="B91" s="2" t="s">
        <v>71</v>
      </c>
      <c r="D91" s="51"/>
      <c r="E91" s="2" t="s">
        <v>49</v>
      </c>
    </row>
    <row r="92" spans="1:8" x14ac:dyDescent="0.2">
      <c r="B92" s="2" t="s">
        <v>72</v>
      </c>
      <c r="D92" s="55"/>
      <c r="E92" s="2" t="s">
        <v>51</v>
      </c>
    </row>
    <row r="93" spans="1:8" x14ac:dyDescent="0.2">
      <c r="B93" s="2" t="s">
        <v>73</v>
      </c>
      <c r="D93" s="49"/>
      <c r="E93" s="2" t="s">
        <v>74</v>
      </c>
    </row>
    <row r="94" spans="1:8" ht="15.75" x14ac:dyDescent="0.3">
      <c r="B94" s="2" t="s">
        <v>75</v>
      </c>
      <c r="D94" s="55"/>
      <c r="E94" t="s">
        <v>55</v>
      </c>
    </row>
    <row r="95" spans="1:8" ht="15.75" x14ac:dyDescent="0.3">
      <c r="B95" s="2" t="s">
        <v>76</v>
      </c>
      <c r="D95" s="55"/>
      <c r="E95" t="s">
        <v>55</v>
      </c>
    </row>
    <row r="96" spans="1:8" x14ac:dyDescent="0.2">
      <c r="B96" s="2" t="s">
        <v>77</v>
      </c>
      <c r="D96" s="50"/>
      <c r="E96" s="2" t="s">
        <v>64</v>
      </c>
    </row>
    <row r="97" spans="1:8" x14ac:dyDescent="0.2">
      <c r="B97" s="24"/>
    </row>
    <row r="98" spans="1:8" ht="14.25" x14ac:dyDescent="0.25">
      <c r="A98" s="1" t="s">
        <v>78</v>
      </c>
      <c r="B98" s="1" t="s">
        <v>79</v>
      </c>
    </row>
    <row r="99" spans="1:8" x14ac:dyDescent="0.2">
      <c r="B99" s="1"/>
    </row>
    <row r="100" spans="1:8" x14ac:dyDescent="0.2">
      <c r="B100" s="1"/>
    </row>
    <row r="101" spans="1:8" x14ac:dyDescent="0.2">
      <c r="B101" s="1"/>
      <c r="E101" t="s">
        <v>80</v>
      </c>
    </row>
    <row r="102" spans="1:8" x14ac:dyDescent="0.2">
      <c r="B102" s="1"/>
    </row>
    <row r="103" spans="1:8" ht="15.75" x14ac:dyDescent="0.3">
      <c r="B103" t="s">
        <v>81</v>
      </c>
      <c r="C103" s="60" t="e">
        <f>C48/D89</f>
        <v>#DIV/0!</v>
      </c>
      <c r="D103" s="2" t="s">
        <v>82</v>
      </c>
    </row>
    <row r="104" spans="1:8" x14ac:dyDescent="0.2">
      <c r="C104" s="31"/>
      <c r="D104" s="2"/>
    </row>
    <row r="105" spans="1:8" x14ac:dyDescent="0.2">
      <c r="B105" s="61" t="e">
        <f>IF(C103&gt;1,"--------&gt;","")</f>
        <v>#DIV/0!</v>
      </c>
      <c r="C105" s="35" t="e">
        <f>IF(C103&lt;1,"Flow veloicty is OK since it is less than 1 ft/sec","Error - Flow velocity is greater than 1 ft/sec, Please redesign swale")</f>
        <v>#DIV/0!</v>
      </c>
      <c r="D105" s="2"/>
    </row>
    <row r="107" spans="1:8" x14ac:dyDescent="0.2">
      <c r="A107" s="1" t="s">
        <v>83</v>
      </c>
      <c r="B107" s="1" t="s">
        <v>84</v>
      </c>
    </row>
    <row r="110" spans="1:8" x14ac:dyDescent="0.2">
      <c r="B110" s="2" t="s">
        <v>85</v>
      </c>
      <c r="C110">
        <v>540</v>
      </c>
      <c r="D110" s="2" t="s">
        <v>86</v>
      </c>
    </row>
    <row r="111" spans="1:8" x14ac:dyDescent="0.2">
      <c r="B111" t="s">
        <v>87</v>
      </c>
      <c r="C111" s="60" t="e">
        <f>ROUND(C103*C110,2)</f>
        <v>#DIV/0!</v>
      </c>
      <c r="D111" s="2" t="s">
        <v>122</v>
      </c>
      <c r="F111" s="41"/>
      <c r="H111" s="2"/>
    </row>
    <row r="112" spans="1:8" x14ac:dyDescent="0.2">
      <c r="C112" s="23"/>
      <c r="D112" s="2" t="s">
        <v>123</v>
      </c>
      <c r="F112" s="41"/>
      <c r="H112" s="2"/>
    </row>
    <row r="113" spans="1:10" x14ac:dyDescent="0.2">
      <c r="C113" s="31"/>
      <c r="D113" s="2" t="s">
        <v>124</v>
      </c>
      <c r="F113" s="41"/>
      <c r="H113" s="2"/>
    </row>
    <row r="114" spans="1:10" x14ac:dyDescent="0.2">
      <c r="C114" s="31"/>
      <c r="D114" s="2"/>
      <c r="F114" s="41"/>
      <c r="H114" s="2"/>
    </row>
    <row r="115" spans="1:10" x14ac:dyDescent="0.2">
      <c r="A115" s="1" t="s">
        <v>90</v>
      </c>
      <c r="B115" s="1" t="s">
        <v>125</v>
      </c>
      <c r="C115" s="31"/>
      <c r="D115" s="2"/>
      <c r="F115" s="41"/>
      <c r="H115" s="2"/>
    </row>
    <row r="116" spans="1:10" x14ac:dyDescent="0.2">
      <c r="B116" s="2" t="str">
        <f>IF(E14="Yes","Choose N/A (eastern WA) --------------------------&gt;","Is the wet bioswale downstream of a detention pond?")</f>
        <v>Is the wet bioswale downstream of a detention pond?</v>
      </c>
      <c r="C116" s="31"/>
      <c r="D116" s="2"/>
      <c r="F116" s="74"/>
      <c r="G116" s="97"/>
      <c r="H116" s="58" t="str">
        <f>IF(AND(E14="YES",OR(F116="",F116="NO",F116="YES")),"&lt;-----Choose N/A (eastern WA)",IF(AND(E14="NO",OR(F116="N/A (eastern WA) ",F116="")),"&lt;-----Choose Yes or NO",""))</f>
        <v/>
      </c>
    </row>
    <row r="117" spans="1:10" x14ac:dyDescent="0.2">
      <c r="B117" s="2" t="str">
        <f>IF(AND(F116="YES",E14="NO"),"Enter the wet bioswale length (ft) --------------&gt;","")</f>
        <v/>
      </c>
      <c r="C117" s="31"/>
      <c r="D117" s="2"/>
      <c r="F117" s="98"/>
      <c r="G117" s="99"/>
      <c r="H117" s="100" t="str">
        <f>IF(OR(AND(E14="YES",ISNUMBER(F117)),AND(E14="NO",F116="NO",ISNUMBER(F117))),"&lt;------LEAVE BLANK",IF(AND(F116="YES",F117=""),"&lt;------Enter wet bioswale length",IF(ISNUMBER(F117),"ft","")))</f>
        <v/>
      </c>
      <c r="I117" s="101"/>
      <c r="J117" s="101"/>
    </row>
    <row r="118" spans="1:10" x14ac:dyDescent="0.2">
      <c r="B118" s="28" t="str">
        <f>IF(AND(F116="YES",E14="NO"),"wet bioswale bottom treatment area x 2 =","")</f>
        <v/>
      </c>
      <c r="C118" s="2"/>
      <c r="D118" s="23"/>
      <c r="F118" s="102" t="str">
        <f>IF(AND(E14="NO",F116="YES",ISNUMBER(F117)),F117*D93*2,"")</f>
        <v/>
      </c>
      <c r="G118" s="103"/>
      <c r="H118" s="2" t="str">
        <f>IF(AND(E14="NO",F116="YES",ISNUMBER(F117)),"ft2","")</f>
        <v/>
      </c>
    </row>
    <row r="119" spans="1:10" x14ac:dyDescent="0.2">
      <c r="B119" t="str">
        <f>IF(AND(F116="YES",E14="NO"),"Adjust the wet bioswale length and/or bottom width to provide an equivalent bottom treatment area; maintaining a 5:1 length to width ratio and depth of flow of 4 inches","")</f>
        <v/>
      </c>
      <c r="C119" s="2"/>
    </row>
    <row r="120" spans="1:10" x14ac:dyDescent="0.2">
      <c r="C120" s="2"/>
    </row>
    <row r="121" spans="1:10" x14ac:dyDescent="0.2">
      <c r="A121" s="1" t="s">
        <v>126</v>
      </c>
      <c r="B121" s="2" t="s">
        <v>127</v>
      </c>
      <c r="C121" s="31"/>
      <c r="D121" s="2"/>
      <c r="F121" s="41"/>
      <c r="H121" s="2"/>
    </row>
    <row r="122" spans="1:10" x14ac:dyDescent="0.2">
      <c r="B122" s="2" t="s">
        <v>128</v>
      </c>
      <c r="C122" s="31"/>
      <c r="D122" s="2"/>
      <c r="F122" s="41"/>
      <c r="H122" s="2"/>
    </row>
    <row r="123" spans="1:10" x14ac:dyDescent="0.2">
      <c r="B123" s="2" t="s">
        <v>129</v>
      </c>
      <c r="C123" s="2"/>
    </row>
    <row r="124" spans="1:10" x14ac:dyDescent="0.2">
      <c r="B124" s="62" t="s">
        <v>130</v>
      </c>
      <c r="C124" s="2"/>
    </row>
    <row r="125" spans="1:10" x14ac:dyDescent="0.2">
      <c r="C125" s="2"/>
    </row>
    <row r="126" spans="1:10" x14ac:dyDescent="0.2">
      <c r="B126" s="1" t="s">
        <v>131</v>
      </c>
      <c r="D126" s="70"/>
      <c r="E126" s="70"/>
      <c r="F126" s="70"/>
      <c r="G126" s="70"/>
      <c r="H126" s="70"/>
    </row>
    <row r="127" spans="1:10" x14ac:dyDescent="0.2">
      <c r="B127" s="2" t="s">
        <v>73</v>
      </c>
      <c r="D127" s="55"/>
      <c r="E127" s="2" t="s">
        <v>74</v>
      </c>
    </row>
    <row r="128" spans="1:10" x14ac:dyDescent="0.2">
      <c r="B128" s="2" t="s">
        <v>132</v>
      </c>
      <c r="C128" s="2"/>
      <c r="D128" s="55"/>
      <c r="E128" s="2" t="s">
        <v>133</v>
      </c>
    </row>
    <row r="129" spans="2:10" x14ac:dyDescent="0.2">
      <c r="B129" s="2"/>
      <c r="C129" s="31"/>
      <c r="D129" s="58" t="e">
        <f>IF(AND(E14="NO",F116="YES",(D127*D128&lt;F118)),"ERROR; wet bioswale treatment area needs to be increased for the extended wet season adjustment critria above.",IF(OR(AND(D127&gt;=10,D127&lt;=25,D128/D127&lt;5),AND(E14="NO",F116="YES",(D128/D127&lt;5))),"ERROR; wet bioswale treatment area must maintain a 5:1 length to width ratio.  Please resize bioswale bottom area",""))</f>
        <v>#DIV/0!</v>
      </c>
      <c r="F129" s="41"/>
      <c r="H129" s="2"/>
    </row>
    <row r="130" spans="2:10" ht="13.5" thickBot="1" x14ac:dyDescent="0.25">
      <c r="B130" s="2"/>
      <c r="C130" s="31"/>
      <c r="D130" s="2"/>
      <c r="F130" s="41"/>
      <c r="H130" s="2"/>
    </row>
    <row r="131" spans="2:10" ht="12.75" customHeight="1" thickBot="1" x14ac:dyDescent="0.25">
      <c r="B131" s="85" t="s">
        <v>134</v>
      </c>
      <c r="C131" s="86"/>
      <c r="D131" s="86"/>
      <c r="E131" s="86"/>
      <c r="F131" s="87"/>
      <c r="G131" s="70"/>
      <c r="H131" s="70"/>
      <c r="I131" s="70"/>
      <c r="J131" s="70"/>
    </row>
    <row r="132" spans="2:10" x14ac:dyDescent="0.2">
      <c r="B132" s="88" t="s">
        <v>135</v>
      </c>
      <c r="C132" s="89"/>
      <c r="D132" s="89"/>
      <c r="E132" s="63">
        <f>D128</f>
        <v>0</v>
      </c>
      <c r="F132" s="42" t="s">
        <v>105</v>
      </c>
      <c r="G132" s="58" t="str">
        <f>IF(E132&lt;100,"&lt;----NOTE MINIMUM SWALE LENGTH = 100 FT","")</f>
        <v>&lt;----NOTE MINIMUM SWALE LENGTH = 100 FT</v>
      </c>
      <c r="H132" s="58"/>
      <c r="I132" s="70"/>
      <c r="J132" s="70"/>
    </row>
    <row r="133" spans="2:10" ht="12.75" customHeight="1" x14ac:dyDescent="0.2">
      <c r="B133" s="72" t="s">
        <v>136</v>
      </c>
      <c r="C133" s="73"/>
      <c r="D133" s="73"/>
      <c r="E133" s="64">
        <f>D127</f>
        <v>0</v>
      </c>
      <c r="F133" s="43" t="s">
        <v>105</v>
      </c>
      <c r="G133" s="58" t="str">
        <f>IF(E133&lt;2,"&lt;----NOTE MINIMUM SWALE BOTTOM WIDTH = 2 FT","")</f>
        <v>&lt;----NOTE MINIMUM SWALE BOTTOM WIDTH = 2 FT</v>
      </c>
      <c r="H133" s="37"/>
      <c r="I133" s="37"/>
      <c r="J133" s="37"/>
    </row>
    <row r="134" spans="2:10" ht="12.75" customHeight="1" x14ac:dyDescent="0.2">
      <c r="B134" s="90" t="s">
        <v>107</v>
      </c>
      <c r="C134" s="91"/>
      <c r="D134" s="92"/>
      <c r="E134" s="65">
        <f>D91</f>
        <v>0</v>
      </c>
      <c r="F134" s="43" t="s">
        <v>24</v>
      </c>
      <c r="G134" s="37"/>
      <c r="H134" s="37"/>
      <c r="I134" s="37"/>
      <c r="J134" s="37"/>
    </row>
    <row r="135" spans="2:10" ht="18.75" x14ac:dyDescent="0.3">
      <c r="B135" s="93" t="s">
        <v>108</v>
      </c>
      <c r="C135" s="94"/>
      <c r="D135" s="94"/>
      <c r="E135" s="64">
        <f>D94</f>
        <v>0</v>
      </c>
      <c r="F135" s="43"/>
      <c r="G135" s="37"/>
      <c r="H135" s="37"/>
      <c r="I135" s="37"/>
      <c r="J135" s="37"/>
    </row>
    <row r="136" spans="2:10" ht="18.75" x14ac:dyDescent="0.3">
      <c r="B136" s="93" t="s">
        <v>109</v>
      </c>
      <c r="C136" s="94"/>
      <c r="D136" s="94"/>
      <c r="E136" s="64">
        <f>D95</f>
        <v>0</v>
      </c>
      <c r="F136" s="43"/>
      <c r="G136" s="37"/>
      <c r="H136" s="37"/>
      <c r="I136" s="37"/>
      <c r="J136" s="37"/>
    </row>
    <row r="137" spans="2:10" x14ac:dyDescent="0.2">
      <c r="B137" s="72" t="s">
        <v>110</v>
      </c>
      <c r="C137" s="73"/>
      <c r="D137" s="73"/>
      <c r="E137" s="66">
        <f>D96</f>
        <v>0</v>
      </c>
      <c r="F137" s="43" t="s">
        <v>105</v>
      </c>
    </row>
    <row r="138" spans="2:10" ht="13.5" thickBot="1" x14ac:dyDescent="0.25">
      <c r="B138" s="95" t="str">
        <f>IF(E19="online","Swale Depth (includes 1 ft Freeboard)","Swale Depth = WQ Depth for offline swales")</f>
        <v>Swale Depth = WQ Depth for offline swales</v>
      </c>
      <c r="C138" s="96"/>
      <c r="D138" s="96"/>
      <c r="E138" s="67">
        <f>E137</f>
        <v>0</v>
      </c>
      <c r="F138" s="44" t="s">
        <v>105</v>
      </c>
    </row>
    <row r="139" spans="2:10" x14ac:dyDescent="0.2">
      <c r="E139" s="28"/>
    </row>
  </sheetData>
  <sheetProtection password="8E70" sheet="1"/>
  <mergeCells count="19">
    <mergeCell ref="D78:H80"/>
    <mergeCell ref="C26:K27"/>
    <mergeCell ref="D16:G16"/>
    <mergeCell ref="C29:J29"/>
    <mergeCell ref="D30:J30"/>
    <mergeCell ref="B38:H39"/>
    <mergeCell ref="D58:H60"/>
    <mergeCell ref="B138:D138"/>
    <mergeCell ref="F116:G116"/>
    <mergeCell ref="F117:G117"/>
    <mergeCell ref="H117:J117"/>
    <mergeCell ref="F118:G118"/>
    <mergeCell ref="B131:F131"/>
    <mergeCell ref="B132:D132"/>
    <mergeCell ref="B133:D133"/>
    <mergeCell ref="B134:D134"/>
    <mergeCell ref="B135:D135"/>
    <mergeCell ref="B136:D136"/>
    <mergeCell ref="B137:D137"/>
  </mergeCells>
  <conditionalFormatting sqref="D118">
    <cfRule type="cellIs" dxfId="1" priority="2" stopIfTrue="1" operator="equal">
      <formula>"Error - List wet bioswale length"</formula>
    </cfRule>
  </conditionalFormatting>
  <conditionalFormatting sqref="H117:J117">
    <cfRule type="cellIs" dxfId="0" priority="1" stopIfTrue="1" operator="equal">
      <formula>"ft"</formula>
    </cfRule>
  </conditionalFormatting>
  <dataValidations count="5">
    <dataValidation type="list" allowBlank="1" showInputMessage="1" showErrorMessage="1" sqref="D16:G16" xr:uid="{D036E42B-1FA1-4116-861F-C03AE8B486FC}">
      <formula1>"N/A,6-month 24 hr precip depth (in),2-year 24 hr precip depth (in)"</formula1>
    </dataValidation>
    <dataValidation type="list" allowBlank="1" showInputMessage="1" showErrorMessage="1" sqref="E14:E15" xr:uid="{D53235D8-25CB-41D9-9059-486BA32E718F}">
      <formula1>"Yes,No"</formula1>
    </dataValidation>
    <dataValidation type="list" allowBlank="1" showInputMessage="1" showErrorMessage="1" sqref="C29" xr:uid="{8D6B3320-71DF-420F-862B-9107359B8C75}">
      <formula1>SoilCover</formula1>
    </dataValidation>
    <dataValidation type="list" allowBlank="1" showInputMessage="1" showErrorMessage="1" sqref="E19" xr:uid="{C8089CB6-3CD0-4B0E-B861-481D5A761192}">
      <formula1>"offline"</formula1>
    </dataValidation>
    <dataValidation type="list" allowBlank="1" showInputMessage="1" showErrorMessage="1" sqref="F116" xr:uid="{808F48C5-D880-4AC6-B007-7992CDAC33FA}">
      <formula1>"N/A (eastern WA) ,Yes,No"</formula1>
    </dataValidation>
  </dataValidations>
  <printOptions horizontalCentered="1"/>
  <pageMargins left="0.25" right="0.25" top="0.25" bottom="0.75" header="0.25" footer="0.5"/>
  <pageSetup scale="67" fitToHeight="2" orientation="portrait" r:id="rId1"/>
  <headerFooter alignWithMargins="0">
    <oddFooter>&amp;L&amp;F&amp;R&amp;D  &amp;T  Version 2.1</oddFooter>
  </headerFooter>
  <drawing r:id="rId2"/>
  <legacyDrawing r:id="rId3"/>
  <oleObjects>
    <mc:AlternateContent xmlns:mc="http://schemas.openxmlformats.org/markup-compatibility/2006">
      <mc:Choice Requires="x14">
        <oleObject progId="Equation.3" shapeId="24577" r:id="rId4">
          <objectPr defaultSize="0" r:id="rId5">
            <anchor moveWithCells="1">
              <from>
                <xdr:col>1</xdr:col>
                <xdr:colOff>95250</xdr:colOff>
                <xdr:row>40</xdr:row>
                <xdr:rowOff>57150</xdr:rowOff>
              </from>
              <to>
                <xdr:col>2</xdr:col>
                <xdr:colOff>514350</xdr:colOff>
                <xdr:row>43</xdr:row>
                <xdr:rowOff>114300</xdr:rowOff>
              </to>
            </anchor>
          </objectPr>
        </oleObject>
      </mc:Choice>
      <mc:Fallback>
        <oleObject progId="Equation.3" shapeId="24577" r:id="rId4"/>
      </mc:Fallback>
    </mc:AlternateContent>
    <mc:AlternateContent xmlns:mc="http://schemas.openxmlformats.org/markup-compatibility/2006">
      <mc:Choice Requires="x14">
        <oleObject progId="Equation.3" shapeId="24578" r:id="rId6">
          <objectPr defaultSize="0" autoPict="0" r:id="rId7">
            <anchor moveWithCells="1">
              <from>
                <xdr:col>4</xdr:col>
                <xdr:colOff>142875</xdr:colOff>
                <xdr:row>40</xdr:row>
                <xdr:rowOff>142875</xdr:rowOff>
              </from>
              <to>
                <xdr:col>6</xdr:col>
                <xdr:colOff>542925</xdr:colOff>
                <xdr:row>44</xdr:row>
                <xdr:rowOff>57150</xdr:rowOff>
              </to>
            </anchor>
          </objectPr>
        </oleObject>
      </mc:Choice>
      <mc:Fallback>
        <oleObject progId="Equation.3" shapeId="24578" r:id="rId6"/>
      </mc:Fallback>
    </mc:AlternateContent>
    <mc:AlternateContent xmlns:mc="http://schemas.openxmlformats.org/markup-compatibility/2006">
      <mc:Choice Requires="x14">
        <oleObject progId="Equation.3" shapeId="24579" r:id="rId8">
          <objectPr defaultSize="0" r:id="rId9">
            <anchor moveWithCells="1">
              <from>
                <xdr:col>1</xdr:col>
                <xdr:colOff>85725</xdr:colOff>
                <xdr:row>98</xdr:row>
                <xdr:rowOff>0</xdr:rowOff>
              </from>
              <to>
                <xdr:col>2</xdr:col>
                <xdr:colOff>714375</xdr:colOff>
                <xdr:row>101</xdr:row>
                <xdr:rowOff>76200</xdr:rowOff>
              </to>
            </anchor>
          </objectPr>
        </oleObject>
      </mc:Choice>
      <mc:Fallback>
        <oleObject progId="Equation.3" shapeId="24579" r:id="rId8"/>
      </mc:Fallback>
    </mc:AlternateContent>
    <mc:AlternateContent xmlns:mc="http://schemas.openxmlformats.org/markup-compatibility/2006">
      <mc:Choice Requires="x14">
        <oleObject progId="Equation.3" shapeId="24580" r:id="rId10">
          <objectPr defaultSize="0" r:id="rId11">
            <anchor moveWithCells="1">
              <from>
                <xdr:col>1</xdr:col>
                <xdr:colOff>57150</xdr:colOff>
                <xdr:row>107</xdr:row>
                <xdr:rowOff>76200</xdr:rowOff>
              </from>
              <to>
                <xdr:col>2</xdr:col>
                <xdr:colOff>285750</xdr:colOff>
                <xdr:row>109</xdr:row>
                <xdr:rowOff>9525</xdr:rowOff>
              </to>
            </anchor>
          </objectPr>
        </oleObject>
      </mc:Choice>
      <mc:Fallback>
        <oleObject progId="Equation.3" shapeId="24580" r:id="rId10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56AA87-2751-49BD-AA3A-8FF7D54590BF}">
  <dimension ref="A1:D8"/>
  <sheetViews>
    <sheetView workbookViewId="0">
      <selection activeCell="A6" sqref="A6"/>
    </sheetView>
  </sheetViews>
  <sheetFormatPr defaultRowHeight="12.75" x14ac:dyDescent="0.2"/>
  <cols>
    <col min="1" max="1" width="58" customWidth="1"/>
    <col min="2" max="2" width="21.140625" style="3" customWidth="1"/>
  </cols>
  <sheetData>
    <row r="1" spans="1:4" x14ac:dyDescent="0.2">
      <c r="A1" s="105" t="s">
        <v>137</v>
      </c>
      <c r="B1" s="105"/>
      <c r="C1" s="105"/>
    </row>
    <row r="2" spans="1:4" x14ac:dyDescent="0.2">
      <c r="A2" s="4" t="s">
        <v>138</v>
      </c>
      <c r="B2" s="5" t="s">
        <v>139</v>
      </c>
      <c r="D2" t="s">
        <v>140</v>
      </c>
    </row>
    <row r="3" spans="1:4" x14ac:dyDescent="0.2">
      <c r="A3" s="6" t="s">
        <v>141</v>
      </c>
      <c r="B3" s="7">
        <v>0.2</v>
      </c>
      <c r="D3" t="s">
        <v>116</v>
      </c>
    </row>
    <row r="4" spans="1:4" x14ac:dyDescent="0.2">
      <c r="A4" s="8" t="s">
        <v>142</v>
      </c>
      <c r="B4" s="7">
        <v>0.22</v>
      </c>
    </row>
    <row r="5" spans="1:4" ht="25.5" x14ac:dyDescent="0.2">
      <c r="A5" s="9" t="s">
        <v>143</v>
      </c>
      <c r="B5" s="7">
        <v>0.35</v>
      </c>
    </row>
    <row r="6" spans="1:4" ht="13.5" x14ac:dyDescent="0.2">
      <c r="A6" s="10" t="s">
        <v>144</v>
      </c>
    </row>
    <row r="7" spans="1:4" x14ac:dyDescent="0.2">
      <c r="A7" s="2" t="s">
        <v>145</v>
      </c>
    </row>
    <row r="8" spans="1:4" x14ac:dyDescent="0.2">
      <c r="A8" t="s">
        <v>146</v>
      </c>
    </row>
  </sheetData>
  <sheetProtection password="CFBF" sheet="1"/>
  <mergeCells count="1">
    <mergeCell ref="A1:C1"/>
  </mergeCells>
  <phoneticPr fontId="5" type="noConversion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Instructions</vt:lpstr>
      <vt:lpstr>BasicBioswale and CABS_TEMPLATE</vt:lpstr>
      <vt:lpstr>WetBioswale_TEMPLATE</vt:lpstr>
      <vt:lpstr>Tables</vt:lpstr>
      <vt:lpstr>onlineoffline</vt:lpstr>
      <vt:lpstr>'BasicBioswale and CABS_TEMPLATE'!Print_Area</vt:lpstr>
      <vt:lpstr>WetBioswale_TEMPLATE!Print_Area</vt:lpstr>
      <vt:lpstr>SoilCover</vt:lpstr>
    </vt:vector>
  </TitlesOfParts>
  <Manager/>
  <Company>WSDOT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Basic and wet biofiltration swale design</dc:title>
  <dc:subject>Basic and wet biofiltration swale design</dc:subject>
  <dc:creator>WSDOT Highway Runoff</dc:creator>
  <cp:keywords/>
  <dc:description/>
  <cp:lastModifiedBy>Williams, Stephanie</cp:lastModifiedBy>
  <cp:revision/>
  <dcterms:created xsi:type="dcterms:W3CDTF">2008-08-21T17:28:12Z</dcterms:created>
  <dcterms:modified xsi:type="dcterms:W3CDTF">2025-04-07T16:54:07Z</dcterms:modified>
  <cp:category>Basic and wet biofiltration swale design</cp:category>
  <cp:contentStatus/>
</cp:coreProperties>
</file>