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3.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4.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drawings/drawing5.xml" ContentType="application/vnd.openxmlformats-officedocument.drawing+xml"/>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6.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drawings/drawing7.xml" ContentType="application/vnd.openxmlformats-officedocument.drawing+xml"/>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8.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drawings/drawing9.xml" ContentType="application/vnd.openxmlformats-officedocument.drawing+xml"/>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wsdot-my.sharepoint.com/personal/willisr_wsdot_wa_gov/Documents/Desktop/HydraulicsHydrologyWebpage/TemplatesSpreadsheetsDocuments/"/>
    </mc:Choice>
  </mc:AlternateContent>
  <xr:revisionPtr revIDLastSave="2" documentId="8_{DE6396AA-025B-4BD0-9D50-D9F434087D3D}" xr6:coauthVersionLast="47" xr6:coauthVersionMax="47" xr10:uidLastSave="{1EAD1702-B356-467D-947A-12BBF6EFD701}"/>
  <bookViews>
    <workbookView xWindow="-120" yWindow="-120" windowWidth="29040" windowHeight="15720" tabRatio="834" xr2:uid="{1835A2A2-A1D0-4995-BB76-583EC3F8D15D}"/>
  </bookViews>
  <sheets>
    <sheet name="Instructions" sheetId="10" r:id="rId1"/>
    <sheet name="ContinuousInflowBioswale_Tmpt" sheetId="9" r:id="rId2"/>
    <sheet name="Area1" sheetId="23" r:id="rId3"/>
    <sheet name="Area2" sheetId="32" r:id="rId4"/>
    <sheet name="Area3" sheetId="31" r:id="rId5"/>
    <sheet name="Area4" sheetId="33" r:id="rId6"/>
    <sheet name="Area5" sheetId="37" r:id="rId7"/>
    <sheet name="Area6" sheetId="35" r:id="rId8"/>
    <sheet name="Area7" sheetId="36" r:id="rId9"/>
    <sheet name="Area8" sheetId="34" r:id="rId10"/>
    <sheet name="Tables" sheetId="2" state="hidden" r:id="rId11"/>
  </sheets>
  <externalReferences>
    <externalReference r:id="rId12"/>
    <externalReference r:id="rId13"/>
    <externalReference r:id="rId14"/>
  </externalReferences>
  <definedNames>
    <definedName name="fplot">[1]Tables!$A$3:$A$5</definedName>
    <definedName name="onlineoffline" localSheetId="0">[2]Tables!$D$2:$D$3</definedName>
    <definedName name="onlineoffline">Tables!$D$2:$D$3</definedName>
    <definedName name="_xlnm.Print_Area" localSheetId="1">ContinuousInflowBioswale_Tmpt!$A$1:$P$205</definedName>
    <definedName name="SoilCover" localSheetId="0">[2]Tables!$A$3:$A$5</definedName>
    <definedName name="SoilCover">Tables!$A$3:$A$5</definedName>
    <definedName name="SoilCovernew">[3]Tables!$A$3:$A$5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9" l="1"/>
  <c r="C29" i="9"/>
  <c r="C53" i="9"/>
  <c r="B17" i="9"/>
  <c r="H17" i="9"/>
  <c r="B21" i="34"/>
  <c r="B3" i="34"/>
  <c r="B21" i="36"/>
  <c r="B41" i="36"/>
  <c r="B3" i="36"/>
  <c r="B5" i="36"/>
  <c r="B17" i="36"/>
  <c r="B21" i="35"/>
  <c r="B41" i="35"/>
  <c r="B3" i="35"/>
  <c r="B21" i="37"/>
  <c r="B41" i="37"/>
  <c r="B3" i="37"/>
  <c r="B21" i="33"/>
  <c r="B41" i="33"/>
  <c r="B3" i="33"/>
  <c r="B21" i="31"/>
  <c r="B41" i="31"/>
  <c r="B3" i="31"/>
  <c r="B21" i="32"/>
  <c r="B41" i="32"/>
  <c r="B3" i="32"/>
  <c r="B22" i="37"/>
  <c r="B19" i="37"/>
  <c r="C4" i="37"/>
  <c r="B4" i="37"/>
  <c r="B5" i="37"/>
  <c r="B17" i="37"/>
  <c r="B40" i="37"/>
  <c r="A4" i="37"/>
  <c r="C3" i="37"/>
  <c r="B22" i="36"/>
  <c r="B19" i="36"/>
  <c r="C4" i="36"/>
  <c r="B4" i="36"/>
  <c r="A4" i="36"/>
  <c r="C3" i="36"/>
  <c r="B22" i="35"/>
  <c r="B19" i="35"/>
  <c r="C4" i="35"/>
  <c r="B4" i="35"/>
  <c r="A4" i="35"/>
  <c r="C3" i="35"/>
  <c r="B22" i="34"/>
  <c r="B41" i="34"/>
  <c r="B19" i="34"/>
  <c r="C4" i="34"/>
  <c r="B4" i="34"/>
  <c r="B5" i="34"/>
  <c r="B17" i="34"/>
  <c r="A4" i="34"/>
  <c r="C3" i="34"/>
  <c r="B22" i="33"/>
  <c r="B19" i="33"/>
  <c r="C4" i="33"/>
  <c r="B4" i="33"/>
  <c r="B5" i="33"/>
  <c r="B17" i="33"/>
  <c r="A4" i="33"/>
  <c r="C3" i="33"/>
  <c r="B22" i="32"/>
  <c r="B19" i="32"/>
  <c r="C4" i="32"/>
  <c r="B4" i="32"/>
  <c r="A4" i="32"/>
  <c r="C3" i="32"/>
  <c r="B22" i="31"/>
  <c r="B19" i="31"/>
  <c r="C4" i="31"/>
  <c r="B4" i="31"/>
  <c r="B5" i="31"/>
  <c r="B17" i="31"/>
  <c r="B32" i="31"/>
  <c r="B42" i="31"/>
  <c r="A4" i="31"/>
  <c r="C3" i="31"/>
  <c r="B22" i="23"/>
  <c r="B21" i="23"/>
  <c r="B19" i="23"/>
  <c r="B4" i="23"/>
  <c r="C3" i="23"/>
  <c r="C4" i="23"/>
  <c r="A4" i="23"/>
  <c r="E105" i="9"/>
  <c r="B3" i="23"/>
  <c r="B5" i="23"/>
  <c r="B17" i="23"/>
  <c r="B41" i="23"/>
  <c r="C166" i="9"/>
  <c r="B84" i="9"/>
  <c r="C188" i="9"/>
  <c r="E201" i="9"/>
  <c r="E200" i="9"/>
  <c r="G200" i="9"/>
  <c r="B86" i="9"/>
  <c r="B85" i="9"/>
  <c r="F15" i="9"/>
  <c r="B18" i="9"/>
  <c r="C18" i="9"/>
  <c r="C22" i="9"/>
  <c r="C49" i="9"/>
  <c r="C69" i="9"/>
  <c r="D18" i="9"/>
  <c r="C26" i="9"/>
  <c r="C52" i="9"/>
  <c r="C72" i="9"/>
  <c r="C57" i="9"/>
  <c r="C50" i="9"/>
  <c r="C51" i="9"/>
  <c r="B64" i="9"/>
  <c r="C75" i="9"/>
  <c r="C76" i="9"/>
  <c r="C70" i="9" s="1"/>
  <c r="D173" i="9"/>
  <c r="B175" i="9"/>
  <c r="B177" i="9"/>
  <c r="D177" i="9"/>
  <c r="C181" i="9"/>
  <c r="C186" i="9"/>
  <c r="C187" i="9"/>
  <c r="C189" i="9"/>
  <c r="E202" i="9"/>
  <c r="C194" i="9"/>
  <c r="E204" i="9"/>
  <c r="E199" i="9"/>
  <c r="G199" i="9"/>
  <c r="E203" i="9"/>
  <c r="B204" i="9"/>
  <c r="C184" i="9"/>
  <c r="C185" i="9"/>
  <c r="B5" i="32"/>
  <c r="B17" i="32"/>
  <c r="B5" i="35"/>
  <c r="B17" i="35"/>
  <c r="D181" i="9"/>
  <c r="D180" i="9"/>
  <c r="B40" i="33"/>
  <c r="B32" i="33"/>
  <c r="B42" i="33"/>
  <c r="B40" i="34"/>
  <c r="B32" i="34"/>
  <c r="B42" i="34"/>
  <c r="B43" i="34"/>
  <c r="B46" i="34"/>
  <c r="F147" i="9"/>
  <c r="C143" i="9"/>
  <c r="C147" i="9"/>
  <c r="B40" i="23"/>
  <c r="B32" i="23"/>
  <c r="B42" i="23"/>
  <c r="C71" i="9"/>
  <c r="B40" i="36"/>
  <c r="B32" i="36"/>
  <c r="B42" i="36"/>
  <c r="B32" i="35"/>
  <c r="B42" i="35"/>
  <c r="B40" i="35"/>
  <c r="B32" i="32"/>
  <c r="B42" i="32"/>
  <c r="B40" i="32"/>
  <c r="C144" i="9"/>
  <c r="C73" i="9"/>
  <c r="C79" i="9"/>
  <c r="C59" i="9"/>
  <c r="B32" i="37"/>
  <c r="B42" i="37"/>
  <c r="B43" i="37" s="1"/>
  <c r="B46" i="37" s="1"/>
  <c r="F144" i="9" s="1"/>
  <c r="C191" i="9"/>
  <c r="C161" i="9"/>
  <c r="B40" i="31"/>
  <c r="C141" i="9"/>
  <c r="B43" i="32"/>
  <c r="B46" i="32"/>
  <c r="F141" i="9"/>
  <c r="C146" i="9"/>
  <c r="B43" i="36"/>
  <c r="B46" i="36"/>
  <c r="F146" i="9"/>
  <c r="C142" i="9"/>
  <c r="B43" i="31"/>
  <c r="B46" i="31"/>
  <c r="F142" i="9"/>
  <c r="C145" i="9"/>
  <c r="B43" i="35"/>
  <c r="B46" i="35"/>
  <c r="F145" i="9"/>
  <c r="B43" i="23"/>
  <c r="B46" i="23"/>
  <c r="F140" i="9"/>
  <c r="C140" i="9"/>
  <c r="C150" i="9"/>
  <c r="C154" i="9"/>
  <c r="B43" i="33" l="1"/>
  <c r="B46" i="33" s="1"/>
  <c r="F143" i="9" s="1"/>
  <c r="C151" i="9" s="1"/>
  <c r="C155" i="9" s="1"/>
  <c r="C159" i="9" s="1"/>
  <c r="C164" i="9" s="1"/>
  <c r="C168" i="9" s="1"/>
  <c r="E198" i="9" s="1"/>
  <c r="G198" i="9" s="1"/>
</calcChain>
</file>

<file path=xl/sharedStrings.xml><?xml version="1.0" encoding="utf-8"?>
<sst xmlns="http://schemas.openxmlformats.org/spreadsheetml/2006/main" count="542" uniqueCount="206">
  <si>
    <t>Usage Instructions:</t>
  </si>
  <si>
    <t>BMP RT.06 Continuous Inflow Biofiltration Swale of the WSDOT 2014 Highway Runoff Manual should be consulted during the design.  Please contact Alex Nguyen at nguyeal@wsdot.wa.gov for questions/comments regarding this spreadsheet.</t>
  </si>
  <si>
    <t>This spreadsheet was designed for trapezoidal channels only.</t>
  </si>
  <si>
    <t xml:space="preserve">This spreadsheet is used to design one continuous inflow bioswale.  It contains a main 'ContinuousInflowBioswale_Tmpt' bioswale design template spreadsheet with supporting individual 'Area' spreadsheets that represent the side flow from vegetated filter strips.  All of these sheets work together for one continuous inflow bioswale design.  Copy this entire file if designing another continuous inflow bioswale.  The spreadsheet works for continuous inflow bioswale designs for both eastern WA and western WA.  </t>
  </si>
  <si>
    <t>RT.06  - Continuous Inflow Biofiltration Swale</t>
  </si>
  <si>
    <t>Project:</t>
  </si>
  <si>
    <t>Designed By:</t>
  </si>
  <si>
    <t>Description:</t>
  </si>
  <si>
    <t>Checked By:</t>
  </si>
  <si>
    <t>CONTINUOUS INFLOW BIOSWALE SPREADSHEET VERSION 2.1</t>
  </si>
  <si>
    <t xml:space="preserve">Design Steps </t>
  </si>
  <si>
    <t>D-1</t>
  </si>
  <si>
    <r>
      <t>Determine runoff treatment design flow rate Q</t>
    </r>
    <r>
      <rPr>
        <b/>
        <vertAlign val="subscript"/>
        <sz val="10"/>
        <rFont val="Arial"/>
        <family val="2"/>
      </rPr>
      <t>wq</t>
    </r>
  </si>
  <si>
    <r>
      <t>Q</t>
    </r>
    <r>
      <rPr>
        <vertAlign val="subscript"/>
        <sz val="10"/>
        <rFont val="Arial"/>
        <family val="2"/>
      </rPr>
      <t>wq</t>
    </r>
  </si>
  <si>
    <t xml:space="preserve">Runoff treatment design flow rate is for the area going to the head of the swale + sideslope areas </t>
  </si>
  <si>
    <t>that are downstream of the head of the swale but are contributing flow to the swale.  Flows are from MGS Flood OR SBUH.</t>
  </si>
  <si>
    <t>Please enter the online design flow rate</t>
  </si>
  <si>
    <t>D-2</t>
  </si>
  <si>
    <r>
      <t>Determine the biofiltration design flow rate (Q</t>
    </r>
    <r>
      <rPr>
        <b/>
        <vertAlign val="subscript"/>
        <sz val="10"/>
        <rFont val="Arial"/>
        <family val="2"/>
      </rPr>
      <t>biofil</t>
    </r>
    <r>
      <rPr>
        <b/>
        <sz val="10"/>
        <rFont val="Arial"/>
        <family val="2"/>
      </rPr>
      <t>)</t>
    </r>
  </si>
  <si>
    <t>Is the bioswale in eastern WA?</t>
  </si>
  <si>
    <t>online</t>
  </si>
  <si>
    <r>
      <t>Q</t>
    </r>
    <r>
      <rPr>
        <vertAlign val="subscript"/>
        <sz val="10"/>
        <rFont val="Arial"/>
        <family val="2"/>
      </rPr>
      <t>biofil</t>
    </r>
  </si>
  <si>
    <t>runoff treatment design flow rate</t>
  </si>
  <si>
    <t>D-3</t>
  </si>
  <si>
    <t>Determine the longitudinal slope of the proposed biofiltration swale (ft/ft)</t>
  </si>
  <si>
    <t>s</t>
  </si>
  <si>
    <t>ft/ft</t>
  </si>
  <si>
    <t>D-4</t>
  </si>
  <si>
    <t>Select a soil and vegetation cover suitable for the biofiltration swale</t>
  </si>
  <si>
    <t>soil/veg</t>
  </si>
  <si>
    <t xml:space="preserve"> &lt;--Use pull down box</t>
  </si>
  <si>
    <t>Manning's n=</t>
  </si>
  <si>
    <t>From HRM Table 5-3</t>
  </si>
  <si>
    <t>D-5</t>
  </si>
  <si>
    <t>Select the design depth of flow y (see HRM Table 5-4)</t>
  </si>
  <si>
    <t>y</t>
  </si>
  <si>
    <t>(ft) design depth of flow; for basic biofiltration swale and CABS = 4" max (0.33 ft max) for WQ event</t>
  </si>
  <si>
    <t>D-6</t>
  </si>
  <si>
    <t>Select a trapezoidal swale cross-sectional shape.</t>
  </si>
  <si>
    <t>D-7</t>
  </si>
  <si>
    <t>Use Manning's Eq and first approximations relating hydraulic radius and dimensions to get width for trapezoidal cross section</t>
  </si>
  <si>
    <t>&lt;--manning's changed</t>
  </si>
  <si>
    <t>HRM Chapter 5 Equation E-11</t>
  </si>
  <si>
    <t>Use Excel Solver</t>
  </si>
  <si>
    <t>D-7a</t>
  </si>
  <si>
    <r>
      <t>Q</t>
    </r>
    <r>
      <rPr>
        <vertAlign val="subscript"/>
        <sz val="10"/>
        <rFont val="Arial"/>
        <family val="2"/>
      </rPr>
      <t xml:space="preserve">biofil </t>
    </r>
  </si>
  <si>
    <t>cfs - runoff treatment design flow rate</t>
  </si>
  <si>
    <t>A</t>
  </si>
  <si>
    <t>ft2 - wetted area</t>
  </si>
  <si>
    <t>R</t>
  </si>
  <si>
    <t>ft - hydraulic radius</t>
  </si>
  <si>
    <t>ft/ft longitudinal slope of swale</t>
  </si>
  <si>
    <t>n</t>
  </si>
  <si>
    <t>Manning's coefficient</t>
  </si>
  <si>
    <t>b</t>
  </si>
  <si>
    <t>ft - bioswale bottom width</t>
  </si>
  <si>
    <r>
      <t>z</t>
    </r>
    <r>
      <rPr>
        <vertAlign val="subscript"/>
        <sz val="10"/>
        <rFont val="Arial"/>
        <family val="2"/>
      </rPr>
      <t>foreslope</t>
    </r>
  </si>
  <si>
    <t>horizontal number of bioswale slope i.e. 1V:3H, z=3 in this instance</t>
  </si>
  <si>
    <r>
      <t>z</t>
    </r>
    <r>
      <rPr>
        <vertAlign val="subscript"/>
        <sz val="10"/>
        <rFont val="Arial"/>
        <family val="2"/>
      </rPr>
      <t>backslope</t>
    </r>
  </si>
  <si>
    <t>ft - design depth flow = maximum depth of flow</t>
  </si>
  <si>
    <r>
      <t>cfs - use goal seek under "What-If Analysis" in the "DATA" menu to set this cell equal to Q</t>
    </r>
    <r>
      <rPr>
        <vertAlign val="subscript"/>
        <sz val="10"/>
        <rFont val="Arial"/>
        <family val="2"/>
      </rPr>
      <t>biofil</t>
    </r>
    <r>
      <rPr>
        <sz val="10"/>
        <rFont val="Arial"/>
      </rPr>
      <t xml:space="preserve"> above changing the "b" value</t>
    </r>
  </si>
  <si>
    <t>Note:  Depth of flow for basic biofiltration swale and CABS = 4" max (0.33 ft max) for WQ event</t>
  </si>
  <si>
    <t>D-7b</t>
  </si>
  <si>
    <t>If the swale calculations above give a swale width less than 2 feet wide, re-run calculations with 2 foot wide swale, solve for depth y</t>
  </si>
  <si>
    <t>Or if redesigning swale with different dimensions, use below calculator and use Excel Goal Seek to determine new depth of flow.</t>
  </si>
  <si>
    <t>ft - enter new bottom width if applicable (2 foot is minimum)</t>
  </si>
  <si>
    <t>ft - design depth flow</t>
  </si>
  <si>
    <r>
      <t>cfs - use goal seek under "What-If Analysis" in the "DATA" menu to set this cell equal to Q</t>
    </r>
    <r>
      <rPr>
        <vertAlign val="subscript"/>
        <sz val="10"/>
        <rFont val="Arial"/>
        <family val="2"/>
      </rPr>
      <t>biofil</t>
    </r>
    <r>
      <rPr>
        <sz val="10"/>
        <rFont val="Arial"/>
      </rPr>
      <t xml:space="preserve"> above changing the "y" value</t>
    </r>
  </si>
  <si>
    <t>D-8a</t>
  </si>
  <si>
    <t>Enter Final Bioswale Dimensions from the calculations in Step D-7a or D-7b</t>
  </si>
  <si>
    <t>Enter Final Swale Area</t>
  </si>
  <si>
    <t>ft2 - Wetted Area</t>
  </si>
  <si>
    <t>Enter Final Swale R</t>
  </si>
  <si>
    <t>Enter Final Swale slope  s</t>
  </si>
  <si>
    <t>Enter Final Swale n</t>
  </si>
  <si>
    <t>Enter Final Swale bottom width b</t>
  </si>
  <si>
    <t>ft - swale bottom width</t>
  </si>
  <si>
    <r>
      <t>Enter Final Swale z</t>
    </r>
    <r>
      <rPr>
        <vertAlign val="subscript"/>
        <sz val="10"/>
        <rFont val="Arial"/>
        <family val="2"/>
      </rPr>
      <t>foreslope</t>
    </r>
  </si>
  <si>
    <r>
      <t>Enter Final Swale z</t>
    </r>
    <r>
      <rPr>
        <vertAlign val="subscript"/>
        <sz val="10"/>
        <rFont val="Arial"/>
        <family val="2"/>
      </rPr>
      <t>backslope</t>
    </r>
  </si>
  <si>
    <t>Enter Final Swale flow depth y</t>
  </si>
  <si>
    <t>D-8b</t>
  </si>
  <si>
    <t>Break basin into areas so that no area contributes more than 10% of flow.  Include only areas that discharge sheet flow to the vegetated side slopes and biofiltration swale.</t>
  </si>
  <si>
    <t>ft</t>
  </si>
  <si>
    <t>design flow depth (ft) also assumed to be the hydraulic radius =1.0 inch max (0.083 ft) of sides of bioswale</t>
  </si>
  <si>
    <t>Area 1</t>
  </si>
  <si>
    <r>
      <t>Q</t>
    </r>
    <r>
      <rPr>
        <vertAlign val="subscript"/>
        <sz val="10"/>
        <rFont val="Arial"/>
        <family val="2"/>
      </rPr>
      <t>WQ1</t>
    </r>
  </si>
  <si>
    <t>cfs</t>
  </si>
  <si>
    <r>
      <t>L</t>
    </r>
    <r>
      <rPr>
        <vertAlign val="subscript"/>
        <sz val="10"/>
        <rFont val="Arial"/>
        <family val="2"/>
      </rPr>
      <t>1,ss</t>
    </r>
  </si>
  <si>
    <t>length of portion parallel to pavement edge (ft)</t>
  </si>
  <si>
    <t>Area 2</t>
  </si>
  <si>
    <r>
      <t>Q</t>
    </r>
    <r>
      <rPr>
        <vertAlign val="subscript"/>
        <sz val="10"/>
        <rFont val="Arial"/>
        <family val="2"/>
      </rPr>
      <t>WQ2</t>
    </r>
  </si>
  <si>
    <t>Flow determined from MGS Flood as per HRM</t>
  </si>
  <si>
    <r>
      <t>L</t>
    </r>
    <r>
      <rPr>
        <vertAlign val="subscript"/>
        <sz val="10"/>
        <rFont val="Arial"/>
        <family val="2"/>
      </rPr>
      <t>2,ss</t>
    </r>
  </si>
  <si>
    <t>Area 3</t>
  </si>
  <si>
    <r>
      <t>Q</t>
    </r>
    <r>
      <rPr>
        <vertAlign val="subscript"/>
        <sz val="10"/>
        <rFont val="Arial"/>
        <family val="2"/>
      </rPr>
      <t>WQ3</t>
    </r>
  </si>
  <si>
    <r>
      <t>L</t>
    </r>
    <r>
      <rPr>
        <vertAlign val="subscript"/>
        <sz val="10"/>
        <rFont val="Arial"/>
        <family val="2"/>
      </rPr>
      <t>3,ss</t>
    </r>
  </si>
  <si>
    <t>Area 4</t>
  </si>
  <si>
    <r>
      <t>Q</t>
    </r>
    <r>
      <rPr>
        <vertAlign val="subscript"/>
        <sz val="10"/>
        <rFont val="Arial"/>
        <family val="2"/>
      </rPr>
      <t>WQ4</t>
    </r>
  </si>
  <si>
    <r>
      <t>L</t>
    </r>
    <r>
      <rPr>
        <vertAlign val="subscript"/>
        <sz val="10"/>
        <rFont val="Arial"/>
        <family val="2"/>
      </rPr>
      <t>4,ss</t>
    </r>
  </si>
  <si>
    <t>Area 5</t>
  </si>
  <si>
    <r>
      <t>Q</t>
    </r>
    <r>
      <rPr>
        <vertAlign val="subscript"/>
        <sz val="10"/>
        <rFont val="Arial"/>
        <family val="2"/>
      </rPr>
      <t>WQ5</t>
    </r>
  </si>
  <si>
    <r>
      <t>L</t>
    </r>
    <r>
      <rPr>
        <vertAlign val="subscript"/>
        <sz val="10"/>
        <rFont val="Arial"/>
        <family val="2"/>
      </rPr>
      <t>5,ss</t>
    </r>
  </si>
  <si>
    <t>Area 6</t>
  </si>
  <si>
    <r>
      <t>Q</t>
    </r>
    <r>
      <rPr>
        <vertAlign val="subscript"/>
        <sz val="10"/>
        <rFont val="Arial"/>
        <family val="2"/>
      </rPr>
      <t>WQ6</t>
    </r>
  </si>
  <si>
    <r>
      <t>L</t>
    </r>
    <r>
      <rPr>
        <vertAlign val="subscript"/>
        <sz val="10"/>
        <rFont val="Arial"/>
        <family val="2"/>
      </rPr>
      <t>6,ss</t>
    </r>
  </si>
  <si>
    <t>Area 7</t>
  </si>
  <si>
    <r>
      <t>Q</t>
    </r>
    <r>
      <rPr>
        <vertAlign val="subscript"/>
        <sz val="10"/>
        <rFont val="Arial"/>
        <family val="2"/>
      </rPr>
      <t>WQ7</t>
    </r>
  </si>
  <si>
    <r>
      <t>L</t>
    </r>
    <r>
      <rPr>
        <vertAlign val="subscript"/>
        <sz val="10"/>
        <rFont val="Arial"/>
        <family val="2"/>
      </rPr>
      <t>7,ss</t>
    </r>
  </si>
  <si>
    <t>Area 8</t>
  </si>
  <si>
    <r>
      <t>Q</t>
    </r>
    <r>
      <rPr>
        <vertAlign val="subscript"/>
        <sz val="10"/>
        <rFont val="Arial"/>
        <family val="2"/>
      </rPr>
      <t>WQ8</t>
    </r>
  </si>
  <si>
    <r>
      <t>L</t>
    </r>
    <r>
      <rPr>
        <vertAlign val="subscript"/>
        <sz val="10"/>
        <rFont val="Arial"/>
        <family val="2"/>
      </rPr>
      <t>8,ss</t>
    </r>
  </si>
  <si>
    <t>D-8c</t>
  </si>
  <si>
    <t>Determine the velocity of flows through each vegetated side slope</t>
  </si>
  <si>
    <t>These are automatically calculated in each area tab based on input above.</t>
  </si>
  <si>
    <t>D-8d</t>
  </si>
  <si>
    <r>
      <t>Determine the hydraulic resistance time, t</t>
    </r>
    <r>
      <rPr>
        <b/>
        <vertAlign val="subscript"/>
        <sz val="10"/>
        <rFont val="Arial"/>
        <family val="2"/>
      </rPr>
      <t>ss</t>
    </r>
    <r>
      <rPr>
        <b/>
        <sz val="10"/>
        <rFont val="Arial"/>
        <family val="2"/>
      </rPr>
      <t xml:space="preserve"> for each vegetated side slope</t>
    </r>
  </si>
  <si>
    <r>
      <t>Q</t>
    </r>
    <r>
      <rPr>
        <vertAlign val="subscript"/>
        <sz val="10"/>
        <rFont val="Arial"/>
        <family val="2"/>
      </rPr>
      <t>1,ss</t>
    </r>
  </si>
  <si>
    <r>
      <t>t</t>
    </r>
    <r>
      <rPr>
        <vertAlign val="subscript"/>
        <sz val="10"/>
        <rFont val="Arial"/>
        <family val="2"/>
      </rPr>
      <t>1,ss</t>
    </r>
  </si>
  <si>
    <t>sec</t>
  </si>
  <si>
    <r>
      <t>Q</t>
    </r>
    <r>
      <rPr>
        <vertAlign val="subscript"/>
        <sz val="10"/>
        <rFont val="Arial"/>
        <family val="2"/>
      </rPr>
      <t>2,ss</t>
    </r>
  </si>
  <si>
    <r>
      <t>t</t>
    </r>
    <r>
      <rPr>
        <vertAlign val="subscript"/>
        <sz val="10"/>
        <rFont val="Arial"/>
        <family val="2"/>
      </rPr>
      <t>2,ss</t>
    </r>
  </si>
  <si>
    <r>
      <t>Q</t>
    </r>
    <r>
      <rPr>
        <vertAlign val="subscript"/>
        <sz val="10"/>
        <rFont val="Arial"/>
        <family val="2"/>
      </rPr>
      <t>3,ss</t>
    </r>
  </si>
  <si>
    <r>
      <t>t</t>
    </r>
    <r>
      <rPr>
        <vertAlign val="subscript"/>
        <sz val="10"/>
        <rFont val="Arial"/>
        <family val="2"/>
      </rPr>
      <t>3,ss</t>
    </r>
  </si>
  <si>
    <r>
      <t>Q</t>
    </r>
    <r>
      <rPr>
        <vertAlign val="subscript"/>
        <sz val="10"/>
        <rFont val="Arial"/>
        <family val="2"/>
      </rPr>
      <t>4,ss</t>
    </r>
  </si>
  <si>
    <r>
      <t>t</t>
    </r>
    <r>
      <rPr>
        <vertAlign val="subscript"/>
        <sz val="10"/>
        <rFont val="Arial"/>
        <family val="2"/>
      </rPr>
      <t>4,ss</t>
    </r>
  </si>
  <si>
    <r>
      <t>Q</t>
    </r>
    <r>
      <rPr>
        <vertAlign val="subscript"/>
        <sz val="10"/>
        <rFont val="Arial"/>
        <family val="2"/>
      </rPr>
      <t>5,ss</t>
    </r>
  </si>
  <si>
    <r>
      <t>t</t>
    </r>
    <r>
      <rPr>
        <vertAlign val="subscript"/>
        <sz val="10"/>
        <rFont val="Arial"/>
        <family val="2"/>
      </rPr>
      <t>5,ss</t>
    </r>
  </si>
  <si>
    <r>
      <t>Q</t>
    </r>
    <r>
      <rPr>
        <vertAlign val="subscript"/>
        <sz val="10"/>
        <rFont val="Arial"/>
        <family val="2"/>
      </rPr>
      <t>6,ss</t>
    </r>
  </si>
  <si>
    <r>
      <t>t</t>
    </r>
    <r>
      <rPr>
        <vertAlign val="subscript"/>
        <sz val="10"/>
        <rFont val="Arial"/>
        <family val="2"/>
      </rPr>
      <t>6,ss</t>
    </r>
  </si>
  <si>
    <r>
      <t>Q</t>
    </r>
    <r>
      <rPr>
        <vertAlign val="subscript"/>
        <sz val="10"/>
        <rFont val="Arial"/>
        <family val="2"/>
      </rPr>
      <t>7,ss</t>
    </r>
  </si>
  <si>
    <r>
      <t>t</t>
    </r>
    <r>
      <rPr>
        <vertAlign val="subscript"/>
        <sz val="10"/>
        <rFont val="Arial"/>
        <family val="2"/>
      </rPr>
      <t>7,ss</t>
    </r>
  </si>
  <si>
    <r>
      <t>Q</t>
    </r>
    <r>
      <rPr>
        <vertAlign val="subscript"/>
        <sz val="10"/>
        <rFont val="Arial"/>
        <family val="2"/>
      </rPr>
      <t>8,ss</t>
    </r>
  </si>
  <si>
    <r>
      <t>t</t>
    </r>
    <r>
      <rPr>
        <vertAlign val="subscript"/>
        <sz val="10"/>
        <rFont val="Arial"/>
        <family val="2"/>
      </rPr>
      <t>8,ss</t>
    </r>
  </si>
  <si>
    <t>D-8e</t>
  </si>
  <si>
    <r>
      <t>Determine the weighted mean hydraulic resistance time, t</t>
    </r>
    <r>
      <rPr>
        <b/>
        <vertAlign val="subscript"/>
        <sz val="10"/>
        <rFont val="Arial"/>
        <family val="2"/>
      </rPr>
      <t>mean,ss</t>
    </r>
    <r>
      <rPr>
        <b/>
        <sz val="10"/>
        <rFont val="Arial"/>
        <family val="2"/>
      </rPr>
      <t xml:space="preserve"> for all flows passing through vegetated side slopes</t>
    </r>
  </si>
  <si>
    <r>
      <t>Q</t>
    </r>
    <r>
      <rPr>
        <vertAlign val="subscript"/>
        <sz val="10"/>
        <rFont val="Arial"/>
        <family val="2"/>
      </rPr>
      <t>total,ss</t>
    </r>
  </si>
  <si>
    <r>
      <t>t</t>
    </r>
    <r>
      <rPr>
        <vertAlign val="subscript"/>
        <sz val="10"/>
        <rFont val="Arial"/>
        <family val="2"/>
      </rPr>
      <t>mean,ss</t>
    </r>
  </si>
  <si>
    <t>D-8f</t>
  </si>
  <si>
    <r>
      <t>Determine the adjusted hydraulic residence time t</t>
    </r>
    <r>
      <rPr>
        <vertAlign val="subscript"/>
        <sz val="10"/>
        <rFont val="Arial"/>
        <family val="2"/>
      </rPr>
      <t>adj</t>
    </r>
  </si>
  <si>
    <r>
      <t>Q</t>
    </r>
    <r>
      <rPr>
        <vertAlign val="subscript"/>
        <sz val="10"/>
        <rFont val="Arial"/>
        <family val="2"/>
      </rPr>
      <t>total,ss</t>
    </r>
    <r>
      <rPr>
        <sz val="10"/>
        <rFont val="Arial"/>
      </rPr>
      <t>/</t>
    </r>
    <r>
      <rPr>
        <sz val="10"/>
        <rFont val="Arial"/>
        <family val="2"/>
      </rPr>
      <t>Q</t>
    </r>
    <r>
      <rPr>
        <vertAlign val="subscript"/>
        <sz val="10"/>
        <rFont val="Arial"/>
        <family val="2"/>
      </rPr>
      <t>biofil</t>
    </r>
  </si>
  <si>
    <r>
      <t>t</t>
    </r>
    <r>
      <rPr>
        <vertAlign val="subscript"/>
        <sz val="10"/>
        <rFont val="Arial"/>
        <family val="2"/>
      </rPr>
      <t>adj</t>
    </r>
  </si>
  <si>
    <r>
      <t>sec  -  t</t>
    </r>
    <r>
      <rPr>
        <vertAlign val="subscript"/>
        <sz val="10"/>
        <rFont val="Arial"/>
        <family val="2"/>
      </rPr>
      <t xml:space="preserve">mean,ss </t>
    </r>
    <r>
      <rPr>
        <sz val="10"/>
        <rFont val="Arial"/>
      </rPr>
      <t>x R</t>
    </r>
  </si>
  <si>
    <t>The head of the swale should be located upstream of the vegetated side slopes and the swale is located along the entire toe of the contributing vegetated side slopes.</t>
  </si>
  <si>
    <t>D-8g</t>
  </si>
  <si>
    <r>
      <t>t</t>
    </r>
    <r>
      <rPr>
        <vertAlign val="subscript"/>
        <sz val="10"/>
        <rFont val="Arial"/>
        <family val="2"/>
      </rPr>
      <t>design</t>
    </r>
  </si>
  <si>
    <r>
      <t>Subtract t</t>
    </r>
    <r>
      <rPr>
        <vertAlign val="subscript"/>
        <sz val="10"/>
        <rFont val="Arial"/>
        <family val="2"/>
      </rPr>
      <t>adj</t>
    </r>
    <r>
      <rPr>
        <sz val="10"/>
        <rFont val="Arial"/>
        <family val="2"/>
      </rPr>
      <t xml:space="preserve"> from 18 minutes residence time; 1080-t</t>
    </r>
    <r>
      <rPr>
        <vertAlign val="subscript"/>
        <sz val="10"/>
        <rFont val="Arial"/>
        <family val="2"/>
      </rPr>
      <t>adj</t>
    </r>
  </si>
  <si>
    <t>D-9</t>
  </si>
  <si>
    <r>
      <t>V</t>
    </r>
    <r>
      <rPr>
        <vertAlign val="subscript"/>
        <sz val="10"/>
        <rFont val="Arial"/>
        <family val="2"/>
      </rPr>
      <t>biofil</t>
    </r>
  </si>
  <si>
    <t>ft/s</t>
  </si>
  <si>
    <r>
      <t>Q</t>
    </r>
    <r>
      <rPr>
        <vertAlign val="subscript"/>
        <sz val="10"/>
        <rFont val="Arial"/>
        <family val="2"/>
      </rPr>
      <t>biofil</t>
    </r>
    <r>
      <rPr>
        <sz val="10"/>
        <rFont val="Arial"/>
      </rPr>
      <t>/A</t>
    </r>
  </si>
  <si>
    <r>
      <t>if V</t>
    </r>
    <r>
      <rPr>
        <vertAlign val="subscript"/>
        <sz val="10"/>
        <rFont val="Arial"/>
        <family val="2"/>
      </rPr>
      <t>biofil</t>
    </r>
    <r>
      <rPr>
        <sz val="10"/>
        <rFont val="Arial"/>
      </rPr>
      <t>&gt;1.0 ft/sec, go back to Step D-7 to D-9 increase swale bottom width or investigate ways to reduce Q</t>
    </r>
    <r>
      <rPr>
        <vertAlign val="subscript"/>
        <sz val="10"/>
        <rFont val="Arial"/>
        <family val="2"/>
      </rPr>
      <t>WQ.</t>
    </r>
  </si>
  <si>
    <t>D-10</t>
  </si>
  <si>
    <t>L</t>
  </si>
  <si>
    <t>Required length for treatment.  Length must be at least as long as contributing side slopes!</t>
  </si>
  <si>
    <r>
      <t>L</t>
    </r>
    <r>
      <rPr>
        <vertAlign val="subscript"/>
        <sz val="10"/>
        <rFont val="Arial"/>
        <family val="2"/>
      </rPr>
      <t>total</t>
    </r>
  </si>
  <si>
    <t>Sum of vegetated side slopes lengths (assumes only those 8 areas listed above)</t>
  </si>
  <si>
    <r>
      <t>L</t>
    </r>
    <r>
      <rPr>
        <vertAlign val="subscript"/>
        <sz val="10"/>
        <rFont val="Arial"/>
        <family val="2"/>
      </rPr>
      <t>design</t>
    </r>
  </si>
  <si>
    <t>Necessary Design Length of continuous inflow biofiltration swale</t>
  </si>
  <si>
    <t>D-11</t>
  </si>
  <si>
    <t>Does the bioswale need to be redesigned to fit within the provided right of way?</t>
  </si>
  <si>
    <t>FC-1</t>
  </si>
  <si>
    <r>
      <t>Q</t>
    </r>
    <r>
      <rPr>
        <vertAlign val="subscript"/>
        <sz val="10"/>
        <rFont val="Arial"/>
        <family val="2"/>
      </rPr>
      <t>convey</t>
    </r>
  </si>
  <si>
    <t>FC-2</t>
  </si>
  <si>
    <t>(lowest possible Manning's from HRM)</t>
  </si>
  <si>
    <t>FC-3</t>
  </si>
  <si>
    <t>depth y</t>
  </si>
  <si>
    <t>S</t>
  </si>
  <si>
    <r>
      <t>cfs - use goal seek under "What-If Analysis" in the "DATA" menu to set this cell equal to Q</t>
    </r>
    <r>
      <rPr>
        <vertAlign val="subscript"/>
        <sz val="10"/>
        <rFont val="Arial"/>
        <family val="2"/>
      </rPr>
      <t>convey</t>
    </r>
    <r>
      <rPr>
        <sz val="10"/>
        <rFont val="Arial"/>
      </rPr>
      <t xml:space="preserve"> above changing the "y" value</t>
    </r>
  </si>
  <si>
    <t>FC-4</t>
  </si>
  <si>
    <r>
      <t>D</t>
    </r>
    <r>
      <rPr>
        <vertAlign val="subscript"/>
        <sz val="10"/>
        <rFont val="Arial"/>
        <family val="2"/>
      </rPr>
      <t>(total)</t>
    </r>
  </si>
  <si>
    <t>ft, total required swale depth. Does not take into account design standards for minimum ditch depth from the Design Manual (roadway sections)</t>
  </si>
  <si>
    <t>Final Swale Dimensions</t>
  </si>
  <si>
    <t>Swale Length</t>
  </si>
  <si>
    <t>Bottom Width</t>
  </si>
  <si>
    <t>Swale Longitudinal Slope</t>
  </si>
  <si>
    <r>
      <rPr>
        <b/>
        <sz val="14"/>
        <rFont val="Arial"/>
        <family val="2"/>
      </rPr>
      <t>z</t>
    </r>
    <r>
      <rPr>
        <b/>
        <vertAlign val="subscript"/>
        <sz val="11"/>
        <rFont val="Arial"/>
        <family val="2"/>
      </rPr>
      <t>foreslope</t>
    </r>
  </si>
  <si>
    <r>
      <rPr>
        <b/>
        <sz val="14"/>
        <rFont val="Arial"/>
        <family val="2"/>
      </rPr>
      <t>z</t>
    </r>
    <r>
      <rPr>
        <b/>
        <vertAlign val="subscript"/>
        <sz val="11"/>
        <rFont val="Arial"/>
        <family val="2"/>
      </rPr>
      <t>backslope</t>
    </r>
  </si>
  <si>
    <t>WQ Depth</t>
  </si>
  <si>
    <r>
      <t>Step 1: Determine the runoff treatment design flow (Q</t>
    </r>
    <r>
      <rPr>
        <b/>
        <vertAlign val="subscript"/>
        <sz val="10"/>
        <rFont val="Arial"/>
        <family val="2"/>
      </rPr>
      <t>WQ</t>
    </r>
    <r>
      <rPr>
        <b/>
        <sz val="10"/>
        <rFont val="Arial"/>
        <family val="2"/>
      </rPr>
      <t>)</t>
    </r>
  </si>
  <si>
    <r>
      <t>Q</t>
    </r>
    <r>
      <rPr>
        <vertAlign val="subscript"/>
        <sz val="10"/>
        <rFont val="Arial"/>
        <family val="2"/>
      </rPr>
      <t>WQ</t>
    </r>
  </si>
  <si>
    <r>
      <t>Q</t>
    </r>
    <r>
      <rPr>
        <vertAlign val="subscript"/>
        <sz val="10"/>
        <rFont val="Arial"/>
        <family val="2"/>
      </rPr>
      <t>1,ss</t>
    </r>
    <r>
      <rPr>
        <sz val="10"/>
        <rFont val="Arial"/>
      </rPr>
      <t>=k*</t>
    </r>
    <r>
      <rPr>
        <sz val="10"/>
        <rFont val="Arial"/>
        <family val="2"/>
      </rPr>
      <t>Q</t>
    </r>
    <r>
      <rPr>
        <vertAlign val="subscript"/>
        <sz val="10"/>
        <rFont val="Arial"/>
        <family val="2"/>
      </rPr>
      <t>WQ</t>
    </r>
  </si>
  <si>
    <r>
      <t>Step 2: Calculate the design flow depth at Q</t>
    </r>
    <r>
      <rPr>
        <b/>
        <vertAlign val="subscript"/>
        <sz val="10"/>
        <rFont val="Arial"/>
        <family val="2"/>
      </rPr>
      <t>vfs</t>
    </r>
  </si>
  <si>
    <t>This is done using a form of Manning's Equation as shown below:</t>
  </si>
  <si>
    <t xml:space="preserve">  &lt;-----Use pull down box - Manning's coefficient for VFS HRM Table 5-2</t>
  </si>
  <si>
    <t>design flow depth (ft) also assumed to be the hydraulic radius =1.0 in max (0.083 ft)</t>
  </si>
  <si>
    <r>
      <t>s</t>
    </r>
    <r>
      <rPr>
        <vertAlign val="subscript"/>
        <sz val="10"/>
        <rFont val="Arial"/>
        <family val="2"/>
      </rPr>
      <t>(foreslope)</t>
    </r>
  </si>
  <si>
    <t>slope of portion parallel to the direction of flow (ft/ft)</t>
  </si>
  <si>
    <t>Rearranging the Manning's equation above yields:</t>
  </si>
  <si>
    <r>
      <t>y</t>
    </r>
    <r>
      <rPr>
        <vertAlign val="subscript"/>
        <sz val="10"/>
        <rFont val="Arial"/>
        <family val="2"/>
      </rPr>
      <t>calculated</t>
    </r>
  </si>
  <si>
    <t>design flow depth (ft) calculated from Manning's Equations</t>
  </si>
  <si>
    <t>Step 3: Calculate the design flow velocity passing through the portion of</t>
  </si>
  <si>
    <t>bioswale at the bioswale design flow rate</t>
  </si>
  <si>
    <r>
      <t>V</t>
    </r>
    <r>
      <rPr>
        <vertAlign val="subscript"/>
        <sz val="10"/>
        <rFont val="Arial"/>
        <family val="2"/>
      </rPr>
      <t>1,ss</t>
    </r>
  </si>
  <si>
    <t>Design flow velocity (ft/sec)</t>
  </si>
  <si>
    <r>
      <t>Step 4: Determine the hydraulic resistance time within each vegetated side slope, t</t>
    </r>
    <r>
      <rPr>
        <b/>
        <vertAlign val="subscript"/>
        <sz val="10"/>
        <rFont val="Arial"/>
        <family val="2"/>
      </rPr>
      <t>1,ss</t>
    </r>
  </si>
  <si>
    <r>
      <t>L</t>
    </r>
    <r>
      <rPr>
        <vertAlign val="subscript"/>
        <sz val="10"/>
        <rFont val="Arial"/>
        <family val="2"/>
      </rPr>
      <t>1,ss</t>
    </r>
    <r>
      <rPr>
        <sz val="10"/>
        <rFont val="Arial"/>
      </rPr>
      <t>/V</t>
    </r>
    <r>
      <rPr>
        <vertAlign val="subscript"/>
        <sz val="10"/>
        <rFont val="Arial"/>
        <family val="2"/>
      </rPr>
      <t>1,ss</t>
    </r>
  </si>
  <si>
    <t>2014 HRM Table 5-3 Flow resistance coefficent in basic, wet, and continuous inflow biofiltration swales</t>
  </si>
  <si>
    <t>Soil and Cover</t>
  </si>
  <si>
    <t>Manning's Coefficient</t>
  </si>
  <si>
    <t>Grass-legume mix on compacted native soil</t>
  </si>
  <si>
    <t>offline</t>
  </si>
  <si>
    <t>Grass-legume mix on lightly compacted topsoil</t>
  </si>
  <si>
    <t>Grass-legume mix on lightly compacted topsoil with 3-inch medium compost blanket (CABS)</t>
  </si>
  <si>
    <r>
      <t>1</t>
    </r>
    <r>
      <rPr>
        <sz val="9"/>
        <rFont val="Times New Roman"/>
        <family val="1"/>
      </rPr>
      <t xml:space="preserve"> Specify that topsoil extends to at least an 8-inch depth per Figure 5-11.</t>
    </r>
  </si>
  <si>
    <t xml:space="preserve">2 For information on compost-amended soils, refer to Section 5-4.3.2.  (Note that swales do not require a mulch layer </t>
  </si>
  <si>
    <t>and that compost amendments shall be a 3-inch-thick medium compost blanket over the topsoil.)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</si>
</sst>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
    <numFmt numFmtId="167" formatCode="0.000000000000000"/>
  </numFmts>
  <fonts count="15" x14ac:knownFonts="1">
    <font>
      <sz val="10"/>
      <name val="Arial"/>
    </font>
    <font>
      <sz val="10"/>
      <name val="Arial"/>
    </font>
    <font>
      <vertAlign val="subscript"/>
      <sz val="10"/>
      <name val="Arial"/>
      <family val="2"/>
    </font>
    <font>
      <b/>
      <sz val="10"/>
      <name val="Arial"/>
      <family val="2"/>
    </font>
    <font>
      <b/>
      <vertAlign val="subscript"/>
      <sz val="10"/>
      <name val="Arial"/>
      <family val="2"/>
    </font>
    <font>
      <sz val="8"/>
      <name val="Arial"/>
      <family val="2"/>
    </font>
    <font>
      <sz val="10"/>
      <name val="Arial"/>
      <family val="2"/>
    </font>
    <font>
      <sz val="10"/>
      <color indexed="10"/>
      <name val="Arial"/>
      <family val="2"/>
    </font>
    <font>
      <b/>
      <u/>
      <sz val="12"/>
      <name val="Arial"/>
      <family val="2"/>
    </font>
    <font>
      <b/>
      <sz val="11"/>
      <name val="Arial"/>
      <family val="2"/>
    </font>
    <font>
      <b/>
      <vertAlign val="subscript"/>
      <sz val="11"/>
      <name val="Arial"/>
      <family val="2"/>
    </font>
    <font>
      <b/>
      <sz val="14"/>
      <name val="Arial"/>
      <family val="2"/>
    </font>
    <font>
      <sz val="9"/>
      <name val="Times New Roman"/>
      <family val="1"/>
    </font>
    <font>
      <vertAlign val="superscript"/>
      <sz val="9"/>
      <name val="Times New Roman"/>
      <family val="1"/>
    </font>
    <font>
      <sz val="10"/>
      <color rgb="FFFF0000"/>
      <name val="Arial"/>
      <family val="2"/>
    </font>
  </fonts>
  <fills count="9">
    <fill>
      <patternFill patternType="none"/>
    </fill>
    <fill>
      <patternFill patternType="gray125"/>
    </fill>
    <fill>
      <patternFill patternType="solid">
        <fgColor indexed="1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6" fillId="0" borderId="0"/>
  </cellStyleXfs>
  <cellXfs count="106">
    <xf numFmtId="0" fontId="0" fillId="0" borderId="0" xfId="0"/>
    <xf numFmtId="0" fontId="3" fillId="0" borderId="0" xfId="0" applyFont="1"/>
    <xf numFmtId="0" fontId="6" fillId="0" borderId="0" xfId="0" applyFont="1"/>
    <xf numFmtId="0" fontId="0" fillId="0" borderId="0" xfId="0"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xf numFmtId="0" fontId="0" fillId="0" borderId="1" xfId="0" applyBorder="1" applyAlignment="1">
      <alignment horizontal="center"/>
    </xf>
    <xf numFmtId="0" fontId="6" fillId="0" borderId="1" xfId="0" applyFont="1" applyBorder="1"/>
    <xf numFmtId="0" fontId="6" fillId="0" borderId="1" xfId="0" applyFont="1" applyBorder="1" applyAlignment="1">
      <alignment wrapText="1"/>
    </xf>
    <xf numFmtId="0" fontId="13" fillId="0" borderId="0" xfId="0" applyFont="1" applyAlignment="1">
      <alignment vertical="center"/>
    </xf>
    <xf numFmtId="0" fontId="3" fillId="0" borderId="0" xfId="0" applyFont="1" applyProtection="1">
      <protection locked="0"/>
    </xf>
    <xf numFmtId="0" fontId="6" fillId="0" borderId="0" xfId="0" applyFont="1" applyProtection="1">
      <protection locked="0"/>
    </xf>
    <xf numFmtId="164" fontId="0" fillId="0" borderId="0" xfId="0" applyNumberFormat="1" applyProtection="1">
      <protection locked="0"/>
    </xf>
    <xf numFmtId="0" fontId="0" fillId="0" borderId="0" xfId="0" applyProtection="1">
      <protection locked="0"/>
    </xf>
    <xf numFmtId="0" fontId="6" fillId="0" borderId="0" xfId="1" applyProtection="1">
      <protection locked="0"/>
    </xf>
    <xf numFmtId="0" fontId="6" fillId="0" borderId="0" xfId="1" applyAlignment="1" applyProtection="1">
      <alignment horizontal="left"/>
      <protection locked="0"/>
    </xf>
    <xf numFmtId="0" fontId="0" fillId="3" borderId="2" xfId="0" applyFill="1" applyBorder="1" applyProtection="1">
      <protection locked="0"/>
    </xf>
    <xf numFmtId="2" fontId="0" fillId="3" borderId="1" xfId="0" applyNumberFormat="1" applyFill="1" applyBorder="1" applyAlignment="1" applyProtection="1">
      <alignment horizontal="right"/>
      <protection locked="0"/>
    </xf>
    <xf numFmtId="2" fontId="1" fillId="4" borderId="1" xfId="0" applyNumberFormat="1" applyFont="1" applyFill="1" applyBorder="1" applyProtection="1">
      <protection locked="0"/>
    </xf>
    <xf numFmtId="2" fontId="0" fillId="5" borderId="1" xfId="0" applyNumberFormat="1" applyFill="1" applyBorder="1" applyProtection="1">
      <protection locked="0"/>
    </xf>
    <xf numFmtId="2" fontId="1" fillId="5" borderId="1" xfId="0" applyNumberFormat="1" applyFont="1" applyFill="1" applyBorder="1" applyProtection="1">
      <protection locked="0"/>
    </xf>
    <xf numFmtId="164" fontId="6" fillId="4" borderId="1" xfId="0" applyNumberFormat="1" applyFont="1" applyFill="1" applyBorder="1" applyProtection="1">
      <protection locked="0"/>
    </xf>
    <xf numFmtId="2" fontId="0" fillId="4" borderId="1" xfId="0" applyNumberFormat="1" applyFill="1" applyBorder="1" applyProtection="1">
      <protection locked="0"/>
    </xf>
    <xf numFmtId="2" fontId="6" fillId="4" borderId="3" xfId="1" applyNumberFormat="1" applyFill="1" applyBorder="1" applyAlignment="1" applyProtection="1">
      <alignment horizontal="right"/>
      <protection locked="0"/>
    </xf>
    <xf numFmtId="2" fontId="6" fillId="4" borderId="4" xfId="1" applyNumberFormat="1" applyFill="1" applyBorder="1" applyAlignment="1" applyProtection="1">
      <alignment horizontal="right"/>
      <protection locked="0"/>
    </xf>
    <xf numFmtId="164" fontId="0" fillId="0" borderId="0" xfId="0" applyNumberFormat="1"/>
    <xf numFmtId="0" fontId="6" fillId="0" borderId="0" xfId="1" applyAlignment="1">
      <alignment horizontal="left"/>
    </xf>
    <xf numFmtId="0" fontId="8" fillId="0" borderId="0" xfId="0" applyFont="1"/>
    <xf numFmtId="0" fontId="6" fillId="0" borderId="0" xfId="0" applyFont="1" applyAlignment="1">
      <alignment horizontal="right"/>
    </xf>
    <xf numFmtId="0" fontId="14" fillId="0" borderId="0" xfId="0" applyFont="1" applyAlignment="1">
      <alignment horizontal="left"/>
    </xf>
    <xf numFmtId="0" fontId="0" fillId="0" borderId="0" xfId="0" applyAlignment="1">
      <alignment horizontal="left"/>
    </xf>
    <xf numFmtId="0" fontId="0" fillId="0" borderId="5" xfId="0" applyBorder="1"/>
    <xf numFmtId="0" fontId="14" fillId="0" borderId="0" xfId="0" applyFont="1" applyAlignment="1">
      <alignment horizontal="right"/>
    </xf>
    <xf numFmtId="0" fontId="0" fillId="0" borderId="0" xfId="0" applyAlignment="1">
      <alignment horizontal="right"/>
    </xf>
    <xf numFmtId="2" fontId="0" fillId="0" borderId="0" xfId="0" applyNumberFormat="1"/>
    <xf numFmtId="2" fontId="0" fillId="0" borderId="0" xfId="0" applyNumberFormat="1" applyAlignment="1">
      <alignment horizontal="left" wrapText="1"/>
    </xf>
    <xf numFmtId="167" fontId="0" fillId="0" borderId="0" xfId="0" applyNumberFormat="1"/>
    <xf numFmtId="165" fontId="0" fillId="0" borderId="0" xfId="0" applyNumberFormat="1"/>
    <xf numFmtId="2" fontId="6" fillId="0" borderId="0" xfId="0" applyNumberFormat="1" applyFont="1"/>
    <xf numFmtId="164" fontId="0" fillId="2" borderId="1" xfId="0" applyNumberFormat="1" applyFill="1" applyBorder="1"/>
    <xf numFmtId="0" fontId="6" fillId="0" borderId="0" xfId="0" applyFont="1" applyAlignment="1">
      <alignment wrapText="1"/>
    </xf>
    <xf numFmtId="0" fontId="3" fillId="0" borderId="0" xfId="1" applyFont="1"/>
    <xf numFmtId="2" fontId="1" fillId="0" borderId="0" xfId="0" applyNumberFormat="1" applyFont="1"/>
    <xf numFmtId="164" fontId="6" fillId="0" borderId="0" xfId="0" applyNumberFormat="1" applyFont="1"/>
    <xf numFmtId="0" fontId="7" fillId="0" borderId="0" xfId="0" applyFont="1"/>
    <xf numFmtId="0" fontId="6" fillId="0" borderId="6" xfId="1" applyBorder="1"/>
    <xf numFmtId="166" fontId="6" fillId="4" borderId="1" xfId="1" applyNumberFormat="1" applyFill="1" applyBorder="1" applyAlignment="1">
      <alignment horizontal="right"/>
    </xf>
    <xf numFmtId="0" fontId="6" fillId="0" borderId="7" xfId="1" applyBorder="1"/>
    <xf numFmtId="164" fontId="6" fillId="4" borderId="1" xfId="1" applyNumberFormat="1" applyFill="1" applyBorder="1" applyAlignment="1">
      <alignment horizontal="right"/>
    </xf>
    <xf numFmtId="2" fontId="6" fillId="4" borderId="1" xfId="1" applyNumberFormat="1" applyFill="1" applyBorder="1" applyAlignment="1">
      <alignment horizontal="right"/>
    </xf>
    <xf numFmtId="0" fontId="6" fillId="0" borderId="8" xfId="1" applyBorder="1"/>
    <xf numFmtId="0" fontId="6" fillId="3" borderId="1" xfId="0" applyFont="1" applyFill="1" applyBorder="1" applyProtection="1">
      <protection locked="0"/>
    </xf>
    <xf numFmtId="2" fontId="0" fillId="2" borderId="1" xfId="0" applyNumberFormat="1" applyFill="1" applyBorder="1"/>
    <xf numFmtId="2" fontId="6" fillId="4" borderId="1" xfId="0" applyNumberFormat="1" applyFont="1" applyFill="1" applyBorder="1"/>
    <xf numFmtId="2" fontId="1" fillId="3" borderId="1" xfId="0" applyNumberFormat="1" applyFont="1" applyFill="1" applyBorder="1" applyProtection="1">
      <protection locked="0"/>
    </xf>
    <xf numFmtId="164" fontId="6" fillId="3" borderId="1" xfId="0" applyNumberFormat="1" applyFont="1" applyFill="1" applyBorder="1" applyProtection="1">
      <protection locked="0"/>
    </xf>
    <xf numFmtId="164" fontId="0" fillId="3" borderId="1" xfId="0" applyNumberFormat="1" applyFill="1" applyBorder="1" applyProtection="1">
      <protection locked="0"/>
    </xf>
    <xf numFmtId="2" fontId="0" fillId="3" borderId="1" xfId="0" applyNumberFormat="1" applyFill="1" applyBorder="1" applyProtection="1">
      <protection locked="0"/>
    </xf>
    <xf numFmtId="0" fontId="14" fillId="0" borderId="0" xfId="0" applyFont="1"/>
    <xf numFmtId="0" fontId="6" fillId="0" borderId="0" xfId="0" applyFont="1" applyAlignment="1">
      <alignment horizontal="center"/>
    </xf>
    <xf numFmtId="164" fontId="3" fillId="0" borderId="0" xfId="0" applyNumberFormat="1" applyFont="1"/>
    <xf numFmtId="0" fontId="0" fillId="0" borderId="0" xfId="0" applyAlignment="1">
      <alignment wrapText="1"/>
    </xf>
    <xf numFmtId="0" fontId="6" fillId="0" borderId="0" xfId="1"/>
    <xf numFmtId="0" fontId="6" fillId="0" borderId="0" xfId="0" applyFont="1" applyAlignment="1">
      <alignment horizontal="left"/>
    </xf>
    <xf numFmtId="2" fontId="0" fillId="6" borderId="0" xfId="0" applyNumberFormat="1" applyFill="1"/>
    <xf numFmtId="0" fontId="0" fillId="0" borderId="0" xfId="0" applyAlignment="1">
      <alignment vertical="center" wrapText="1"/>
    </xf>
    <xf numFmtId="0" fontId="0" fillId="0" borderId="0" xfId="0" applyAlignment="1">
      <alignment horizontal="left" vertical="top"/>
    </xf>
    <xf numFmtId="2" fontId="0" fillId="7" borderId="0" xfId="0" applyNumberFormat="1" applyFill="1"/>
    <xf numFmtId="0" fontId="3" fillId="0" borderId="0" xfId="0" applyFont="1" applyAlignment="1">
      <alignment horizontal="center"/>
    </xf>
    <xf numFmtId="164" fontId="6" fillId="0" borderId="0" xfId="0" applyNumberFormat="1" applyFont="1" applyProtection="1">
      <protection locked="0"/>
    </xf>
    <xf numFmtId="0" fontId="6" fillId="0" borderId="0" xfId="0" applyFont="1" applyAlignment="1">
      <alignment vertical="top" wrapText="1"/>
    </xf>
    <xf numFmtId="0" fontId="0" fillId="3" borderId="1" xfId="0" applyFill="1" applyBorder="1" applyProtection="1">
      <protection locked="0"/>
    </xf>
    <xf numFmtId="0" fontId="0" fillId="0" borderId="1" xfId="0" applyBorder="1" applyProtection="1">
      <protection locked="0"/>
    </xf>
    <xf numFmtId="0" fontId="6" fillId="0" borderId="0" xfId="0" applyFont="1" applyAlignment="1">
      <alignment horizontal="left" wrapText="1"/>
    </xf>
    <xf numFmtId="0" fontId="0" fillId="0" borderId="0" xfId="0" applyAlignment="1">
      <alignment horizontal="left" wrapText="1"/>
    </xf>
    <xf numFmtId="0" fontId="1" fillId="0" borderId="0" xfId="0" applyFont="1" applyAlignment="1">
      <alignment wrapText="1"/>
    </xf>
    <xf numFmtId="0" fontId="6" fillId="0" borderId="0" xfId="0" applyFont="1" applyAlignment="1">
      <alignment horizontal="left" vertical="top" wrapText="1"/>
    </xf>
    <xf numFmtId="0" fontId="0" fillId="0" borderId="0" xfId="0" applyAlignment="1">
      <alignment horizontal="left" vertical="top" wrapText="1"/>
    </xf>
    <xf numFmtId="0" fontId="3" fillId="0" borderId="9" xfId="1" applyFont="1" applyBorder="1" applyAlignment="1">
      <alignment horizontal="right"/>
    </xf>
    <xf numFmtId="0" fontId="3" fillId="0" borderId="1" xfId="1" applyFont="1" applyBorder="1" applyAlignment="1">
      <alignment horizontal="right"/>
    </xf>
    <xf numFmtId="0" fontId="6" fillId="3" borderId="10" xfId="0" applyFont="1"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6" fillId="0" borderId="0" xfId="0" applyFont="1" applyAlignment="1">
      <alignment horizontal="left" wrapText="1"/>
    </xf>
    <xf numFmtId="0" fontId="0" fillId="0" borderId="0" xfId="0" applyAlignment="1">
      <alignment horizontal="left" wrapText="1"/>
    </xf>
    <xf numFmtId="0" fontId="3" fillId="0" borderId="0" xfId="0" applyFont="1" applyAlignment="1">
      <alignment wrapText="1"/>
    </xf>
    <xf numFmtId="0" fontId="0" fillId="0" borderId="0" xfId="0" applyAlignment="1">
      <alignment wrapText="1"/>
    </xf>
    <xf numFmtId="0" fontId="0" fillId="3" borderId="10"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0" fontId="0" fillId="3" borderId="12" xfId="0" applyFill="1" applyBorder="1" applyAlignment="1" applyProtection="1">
      <alignment horizontal="center" wrapText="1"/>
      <protection locked="0"/>
    </xf>
    <xf numFmtId="0" fontId="3" fillId="0" borderId="0" xfId="0" applyFont="1" applyAlignment="1">
      <alignment horizontal="left" wrapText="1"/>
    </xf>
    <xf numFmtId="0" fontId="3" fillId="0" borderId="15" xfId="1" applyFont="1" applyBorder="1" applyAlignment="1">
      <alignment horizontal="center"/>
    </xf>
    <xf numFmtId="0" fontId="3" fillId="0" borderId="16" xfId="1" applyFont="1" applyBorder="1" applyAlignment="1">
      <alignment horizontal="center"/>
    </xf>
    <xf numFmtId="0" fontId="3" fillId="0" borderId="17" xfId="1" applyFont="1" applyBorder="1" applyAlignment="1">
      <alignment horizontal="center"/>
    </xf>
    <xf numFmtId="0" fontId="3" fillId="0" borderId="18" xfId="1" applyFont="1" applyBorder="1" applyAlignment="1">
      <alignment horizontal="right"/>
    </xf>
    <xf numFmtId="0" fontId="3" fillId="0" borderId="3" xfId="1" applyFont="1" applyBorder="1" applyAlignment="1">
      <alignment horizontal="right"/>
    </xf>
    <xf numFmtId="0" fontId="3" fillId="0" borderId="13" xfId="0" applyFont="1" applyBorder="1" applyAlignment="1">
      <alignment horizontal="right"/>
    </xf>
    <xf numFmtId="0" fontId="3" fillId="0" borderId="11" xfId="0" applyFont="1" applyBorder="1" applyAlignment="1">
      <alignment horizontal="right"/>
    </xf>
    <xf numFmtId="0" fontId="3" fillId="0" borderId="12" xfId="0" applyFont="1" applyBorder="1" applyAlignment="1">
      <alignment horizontal="right"/>
    </xf>
    <xf numFmtId="0" fontId="9" fillId="0" borderId="9" xfId="1" applyFont="1" applyBorder="1" applyAlignment="1">
      <alignment horizontal="right"/>
    </xf>
    <xf numFmtId="0" fontId="9" fillId="0" borderId="1" xfId="1" applyFont="1" applyBorder="1" applyAlignment="1">
      <alignment horizontal="right"/>
    </xf>
    <xf numFmtId="0" fontId="3" fillId="0" borderId="14" xfId="1" applyFont="1" applyBorder="1" applyAlignment="1">
      <alignment horizontal="right"/>
    </xf>
    <xf numFmtId="0" fontId="3" fillId="0" borderId="4" xfId="1" applyFont="1" applyBorder="1" applyAlignment="1">
      <alignment horizontal="right"/>
    </xf>
    <xf numFmtId="0" fontId="0" fillId="8" borderId="0" xfId="0" applyFill="1" applyAlignment="1">
      <alignment horizontal="left"/>
    </xf>
    <xf numFmtId="0" fontId="0" fillId="0" borderId="0" xfId="0" applyAlignment="1">
      <alignment horizontal="center"/>
    </xf>
  </cellXfs>
  <cellStyles count="2">
    <cellStyle name="Normal" xfId="0" builtinId="0"/>
    <cellStyle name="Normal 2" xfId="1" xr:uid="{C2469E9A-680B-45B3-B5ED-4E3DAAB7422E}"/>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39</xdr:row>
          <xdr:rowOff>85725</xdr:rowOff>
        </xdr:from>
        <xdr:to>
          <xdr:col>2</xdr:col>
          <xdr:colOff>533400</xdr:colOff>
          <xdr:row>42</xdr:row>
          <xdr:rowOff>123825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xdr:row>
          <xdr:rowOff>114300</xdr:rowOff>
        </xdr:from>
        <xdr:to>
          <xdr:col>6</xdr:col>
          <xdr:colOff>514350</xdr:colOff>
          <xdr:row>42</xdr:row>
          <xdr:rowOff>142875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28674" name="Object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28675" name="Object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37889" name="Object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37891" name="Object 3" hidden="1">
              <a:extLst>
                <a:ext uri="{63B3BB69-23CF-44E3-9099-C40C66FF867C}">
                  <a14:compatExt spid="_x0000_s37891"/>
                </a:ext>
                <a:ext uri="{FF2B5EF4-FFF2-40B4-BE49-F238E27FC236}">
                  <a16:creationId xmlns:a16="http://schemas.microsoft.com/office/drawing/2014/main" id="{00000000-0008-0000-0300-0000039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36866" name="Object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36867" name="Object 3"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38914" name="Object 2" hidden="1">
              <a:extLst>
                <a:ext uri="{63B3BB69-23CF-44E3-9099-C40C66FF867C}">
                  <a14:compatExt spid="_x0000_s38914"/>
                </a:ext>
                <a:ext uri="{FF2B5EF4-FFF2-40B4-BE49-F238E27FC236}">
                  <a16:creationId xmlns:a16="http://schemas.microsoft.com/office/drawing/2014/main" id="{00000000-0008-0000-0500-000002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38915" name="Object 3" hidden="1">
              <a:extLst>
                <a:ext uri="{63B3BB69-23CF-44E3-9099-C40C66FF867C}">
                  <a14:compatExt spid="_x0000_s38915"/>
                </a:ext>
                <a:ext uri="{FF2B5EF4-FFF2-40B4-BE49-F238E27FC236}">
                  <a16:creationId xmlns:a16="http://schemas.microsoft.com/office/drawing/2014/main" id="{00000000-0008-0000-0500-000003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43009" name="Object 1" hidden="1">
              <a:extLst>
                <a:ext uri="{63B3BB69-23CF-44E3-9099-C40C66FF867C}">
                  <a14:compatExt spid="_x0000_s43009"/>
                </a:ext>
                <a:ext uri="{FF2B5EF4-FFF2-40B4-BE49-F238E27FC236}">
                  <a16:creationId xmlns:a16="http://schemas.microsoft.com/office/drawing/2014/main" id="{00000000-0008-0000-06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43010" name="Object 2" hidden="1">
              <a:extLst>
                <a:ext uri="{63B3BB69-23CF-44E3-9099-C40C66FF867C}">
                  <a14:compatExt spid="_x0000_s43010"/>
                </a:ext>
                <a:ext uri="{FF2B5EF4-FFF2-40B4-BE49-F238E27FC236}">
                  <a16:creationId xmlns:a16="http://schemas.microsoft.com/office/drawing/2014/main" id="{00000000-0008-0000-0600-000002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43011" name="Object 3" hidden="1">
              <a:extLst>
                <a:ext uri="{63B3BB69-23CF-44E3-9099-C40C66FF867C}">
                  <a14:compatExt spid="_x0000_s43011"/>
                </a:ext>
                <a:ext uri="{FF2B5EF4-FFF2-40B4-BE49-F238E27FC236}">
                  <a16:creationId xmlns:a16="http://schemas.microsoft.com/office/drawing/2014/main" id="{00000000-0008-0000-0600-000003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40962" name="Object 2" hidden="1">
              <a:extLst>
                <a:ext uri="{63B3BB69-23CF-44E3-9099-C40C66FF867C}">
                  <a14:compatExt spid="_x0000_s40962"/>
                </a:ext>
                <a:ext uri="{FF2B5EF4-FFF2-40B4-BE49-F238E27FC236}">
                  <a16:creationId xmlns:a16="http://schemas.microsoft.com/office/drawing/2014/main" id="{00000000-0008-0000-0700-000002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40963" name="Object 3" hidden="1">
              <a:extLst>
                <a:ext uri="{63B3BB69-23CF-44E3-9099-C40C66FF867C}">
                  <a14:compatExt spid="_x0000_s40963"/>
                </a:ext>
                <a:ext uri="{FF2B5EF4-FFF2-40B4-BE49-F238E27FC236}">
                  <a16:creationId xmlns:a16="http://schemas.microsoft.com/office/drawing/2014/main" id="{00000000-0008-0000-0700-000003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41985" name="Object 1" hidden="1">
              <a:extLst>
                <a:ext uri="{63B3BB69-23CF-44E3-9099-C40C66FF867C}">
                  <a14:compatExt spid="_x0000_s41985"/>
                </a:ext>
                <a:ext uri="{FF2B5EF4-FFF2-40B4-BE49-F238E27FC236}">
                  <a16:creationId xmlns:a16="http://schemas.microsoft.com/office/drawing/2014/main" id="{00000000-0008-0000-0800-000001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41986" name="Object 2" hidden="1">
              <a:extLst>
                <a:ext uri="{63B3BB69-23CF-44E3-9099-C40C66FF867C}">
                  <a14:compatExt spid="_x0000_s41986"/>
                </a:ext>
                <a:ext uri="{FF2B5EF4-FFF2-40B4-BE49-F238E27FC236}">
                  <a16:creationId xmlns:a16="http://schemas.microsoft.com/office/drawing/2014/main" id="{00000000-0008-0000-0800-000002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41987" name="Object 3" hidden="1">
              <a:extLst>
                <a:ext uri="{63B3BB69-23CF-44E3-9099-C40C66FF867C}">
                  <a14:compatExt spid="_x0000_s41987"/>
                </a:ext>
                <a:ext uri="{FF2B5EF4-FFF2-40B4-BE49-F238E27FC236}">
                  <a16:creationId xmlns:a16="http://schemas.microsoft.com/office/drawing/2014/main" id="{00000000-0008-0000-0800-000003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2</xdr:col>
          <xdr:colOff>523875</xdr:colOff>
          <xdr:row>14</xdr:row>
          <xdr:rowOff>95250</xdr:rowOff>
        </xdr:to>
        <xdr:sp macro="" textlink="">
          <xdr:nvSpPr>
            <xdr:cNvPr id="39937" name="Object 1" hidden="1">
              <a:extLst>
                <a:ext uri="{63B3BB69-23CF-44E3-9099-C40C66FF867C}">
                  <a14:compatExt spid="_x0000_s39937"/>
                </a:ext>
                <a:ext uri="{FF2B5EF4-FFF2-40B4-BE49-F238E27FC236}">
                  <a16:creationId xmlns:a16="http://schemas.microsoft.com/office/drawing/2014/main" id="{00000000-0008-0000-0900-000001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9525</xdr:rowOff>
        </xdr:from>
        <xdr:to>
          <xdr:col>2</xdr:col>
          <xdr:colOff>428625</xdr:colOff>
          <xdr:row>30</xdr:row>
          <xdr:rowOff>133350</xdr:rowOff>
        </xdr:to>
        <xdr:sp macro="" textlink="">
          <xdr:nvSpPr>
            <xdr:cNvPr id="39938" name="Object 2" hidden="1">
              <a:extLst>
                <a:ext uri="{63B3BB69-23CF-44E3-9099-C40C66FF867C}">
                  <a14:compatExt spid="_x0000_s39938"/>
                </a:ext>
                <a:ext uri="{FF2B5EF4-FFF2-40B4-BE49-F238E27FC236}">
                  <a16:creationId xmlns:a16="http://schemas.microsoft.com/office/drawing/2014/main" id="{00000000-0008-0000-0900-000002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0</xdr:rowOff>
        </xdr:from>
        <xdr:to>
          <xdr:col>2</xdr:col>
          <xdr:colOff>152400</xdr:colOff>
          <xdr:row>38</xdr:row>
          <xdr:rowOff>104775</xdr:rowOff>
        </xdr:to>
        <xdr:sp macro="" textlink="">
          <xdr:nvSpPr>
            <xdr:cNvPr id="39939" name="Object 3" hidden="1">
              <a:extLst>
                <a:ext uri="{63B3BB69-23CF-44E3-9099-C40C66FF867C}">
                  <a14:compatExt spid="_x0000_s39939"/>
                </a:ext>
                <a:ext uri="{FF2B5EF4-FFF2-40B4-BE49-F238E27FC236}">
                  <a16:creationId xmlns:a16="http://schemas.microsoft.com/office/drawing/2014/main" id="{00000000-0008-0000-0900-000003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ing\waccache\MW1PEPF00012423\EXCELCNV\21fe90c9-8a60-4386-9b53-142f0753997b\Continious%20Inflow%20Bioswale_2014HRM_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wmtvrfile01\nwcae412334\XL4050\Design\Hydraulics\BMP%20Design\Bioswa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orking\waccache\MW1PEPF00012423\EXCELCNV\21fe90c9-8a60-4386-9b53-142f0753997b\Continious%20Inflow%20Bioswale_2014HRM_V7aa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lculations"/>
      <sheetName val="Area 1"/>
      <sheetName val="Area 2"/>
      <sheetName val="Area 3"/>
      <sheetName val="Area 4"/>
      <sheetName val="Area 5"/>
      <sheetName val="Area 6"/>
      <sheetName val="Area 7"/>
      <sheetName val="Area 8"/>
      <sheetName val="Tabl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s"/>
      <sheetName val="Table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lculations"/>
      <sheetName val="Area 1"/>
      <sheetName val="Area 2"/>
      <sheetName val="Area 3"/>
      <sheetName val="Area 4"/>
      <sheetName val="Area 5"/>
      <sheetName val="Area 6"/>
      <sheetName val="Area 7"/>
      <sheetName val="Area 8"/>
      <sheetName val="Tabl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oleObject" Target="../embeddings/oleObject26.bin"/><Relationship Id="rId3" Type="http://schemas.openxmlformats.org/officeDocument/2006/relationships/vmlDrawing" Target="../drawings/vmlDrawing9.vml"/><Relationship Id="rId7" Type="http://schemas.openxmlformats.org/officeDocument/2006/relationships/image" Target="../media/image4.emf"/><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oleObject" Target="../embeddings/oleObject25.bin"/><Relationship Id="rId5" Type="http://schemas.openxmlformats.org/officeDocument/2006/relationships/image" Target="../media/image3.emf"/><Relationship Id="rId4" Type="http://schemas.openxmlformats.org/officeDocument/2006/relationships/oleObject" Target="../embeddings/oleObject24.bin"/><Relationship Id="rId9" Type="http://schemas.openxmlformats.org/officeDocument/2006/relationships/image" Target="../media/image5.emf"/></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8.bin"/><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 Id="rId9" Type="http://schemas.openxmlformats.org/officeDocument/2006/relationships/image" Target="../media/image5.emf"/></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10.bin"/><Relationship Id="rId5" Type="http://schemas.openxmlformats.org/officeDocument/2006/relationships/image" Target="../media/image3.emf"/><Relationship Id="rId4" Type="http://schemas.openxmlformats.org/officeDocument/2006/relationships/oleObject" Target="../embeddings/oleObject9.bin"/><Relationship Id="rId9" Type="http://schemas.openxmlformats.org/officeDocument/2006/relationships/image" Target="../media/image5.emf"/></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14.bin"/><Relationship Id="rId3" Type="http://schemas.openxmlformats.org/officeDocument/2006/relationships/vmlDrawing" Target="../drawings/vmlDrawing5.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13.bin"/><Relationship Id="rId5" Type="http://schemas.openxmlformats.org/officeDocument/2006/relationships/image" Target="../media/image3.emf"/><Relationship Id="rId4" Type="http://schemas.openxmlformats.org/officeDocument/2006/relationships/oleObject" Target="../embeddings/oleObject12.bin"/><Relationship Id="rId9" Type="http://schemas.openxmlformats.org/officeDocument/2006/relationships/image" Target="../media/image5.emf"/></Relationships>
</file>

<file path=xl/worksheets/_rels/sheet7.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vmlDrawing" Target="../drawings/vmlDrawing6.vml"/><Relationship Id="rId7" Type="http://schemas.openxmlformats.org/officeDocument/2006/relationships/image" Target="../media/image4.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oleObject" Target="../embeddings/oleObject16.bin"/><Relationship Id="rId5" Type="http://schemas.openxmlformats.org/officeDocument/2006/relationships/image" Target="../media/image3.emf"/><Relationship Id="rId4" Type="http://schemas.openxmlformats.org/officeDocument/2006/relationships/oleObject" Target="../embeddings/oleObject15.bin"/><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20.bin"/><Relationship Id="rId3" Type="http://schemas.openxmlformats.org/officeDocument/2006/relationships/vmlDrawing" Target="../drawings/vmlDrawing7.vml"/><Relationship Id="rId7" Type="http://schemas.openxmlformats.org/officeDocument/2006/relationships/image" Target="../media/image4.emf"/><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oleObject" Target="../embeddings/oleObject19.bin"/><Relationship Id="rId5" Type="http://schemas.openxmlformats.org/officeDocument/2006/relationships/image" Target="../media/image3.emf"/><Relationship Id="rId4" Type="http://schemas.openxmlformats.org/officeDocument/2006/relationships/oleObject" Target="../embeddings/oleObject18.bin"/><Relationship Id="rId9" Type="http://schemas.openxmlformats.org/officeDocument/2006/relationships/image" Target="../media/image5.emf"/></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23.bin"/><Relationship Id="rId3" Type="http://schemas.openxmlformats.org/officeDocument/2006/relationships/vmlDrawing" Target="../drawings/vmlDrawing8.vml"/><Relationship Id="rId7" Type="http://schemas.openxmlformats.org/officeDocument/2006/relationships/image" Target="../media/image4.emf"/><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oleObject" Target="../embeddings/oleObject22.bin"/><Relationship Id="rId5" Type="http://schemas.openxmlformats.org/officeDocument/2006/relationships/image" Target="../media/image3.emf"/><Relationship Id="rId4" Type="http://schemas.openxmlformats.org/officeDocument/2006/relationships/oleObject" Target="../embeddings/oleObject21.bin"/><Relationship Id="rId9"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E1DE-3609-4A1C-A7D8-F1CEBBBAA608}">
  <sheetPr codeName="Sheet1"/>
  <dimension ref="A1:H17"/>
  <sheetViews>
    <sheetView tabSelected="1" workbookViewId="0">
      <selection activeCell="A18" sqref="A18"/>
    </sheetView>
  </sheetViews>
  <sheetFormatPr defaultRowHeight="12.75" x14ac:dyDescent="0.2"/>
  <sheetData>
    <row r="1" spans="1:8" x14ac:dyDescent="0.2">
      <c r="A1" s="1" t="s">
        <v>0</v>
      </c>
    </row>
    <row r="2" spans="1:8" x14ac:dyDescent="0.2">
      <c r="A2" s="77" t="s">
        <v>1</v>
      </c>
      <c r="B2" s="77"/>
      <c r="C2" s="77"/>
      <c r="D2" s="77"/>
      <c r="E2" s="77"/>
      <c r="F2" s="77"/>
      <c r="G2" s="77"/>
      <c r="H2" s="77"/>
    </row>
    <row r="3" spans="1:8" x14ac:dyDescent="0.2">
      <c r="A3" s="77"/>
      <c r="B3" s="77"/>
      <c r="C3" s="77"/>
      <c r="D3" s="77"/>
      <c r="E3" s="77"/>
      <c r="F3" s="77"/>
      <c r="G3" s="77"/>
      <c r="H3" s="77"/>
    </row>
    <row r="4" spans="1:8" x14ac:dyDescent="0.2">
      <c r="A4" s="77"/>
      <c r="B4" s="77"/>
      <c r="C4" s="77"/>
      <c r="D4" s="77"/>
      <c r="E4" s="77"/>
      <c r="F4" s="77"/>
      <c r="G4" s="77"/>
      <c r="H4" s="77"/>
    </row>
    <row r="5" spans="1:8" x14ac:dyDescent="0.2">
      <c r="A5" s="77"/>
      <c r="B5" s="77"/>
      <c r="C5" s="77"/>
      <c r="D5" s="77"/>
      <c r="E5" s="77"/>
      <c r="F5" s="77"/>
      <c r="G5" s="77"/>
      <c r="H5" s="77"/>
    </row>
    <row r="6" spans="1:8" x14ac:dyDescent="0.2">
      <c r="A6" s="77"/>
      <c r="B6" s="77"/>
      <c r="C6" s="77"/>
      <c r="D6" s="77"/>
      <c r="E6" s="77"/>
      <c r="F6" s="77"/>
      <c r="G6" s="77"/>
      <c r="H6" s="77"/>
    </row>
    <row r="8" spans="1:8" x14ac:dyDescent="0.2">
      <c r="A8" s="2" t="s">
        <v>2</v>
      </c>
    </row>
    <row r="10" spans="1:8" ht="13.15" customHeight="1" x14ac:dyDescent="0.2">
      <c r="A10" s="78" t="s">
        <v>3</v>
      </c>
      <c r="B10" s="78"/>
      <c r="C10" s="78"/>
      <c r="D10" s="78"/>
      <c r="E10" s="78"/>
      <c r="F10" s="78"/>
      <c r="G10" s="78"/>
      <c r="H10" s="78"/>
    </row>
    <row r="11" spans="1:8" x14ac:dyDescent="0.2">
      <c r="A11" s="78"/>
      <c r="B11" s="78"/>
      <c r="C11" s="78"/>
      <c r="D11" s="78"/>
      <c r="E11" s="78"/>
      <c r="F11" s="78"/>
      <c r="G11" s="78"/>
      <c r="H11" s="78"/>
    </row>
    <row r="12" spans="1:8" x14ac:dyDescent="0.2">
      <c r="A12" s="78"/>
      <c r="B12" s="78"/>
      <c r="C12" s="78"/>
      <c r="D12" s="78"/>
      <c r="E12" s="78"/>
      <c r="F12" s="78"/>
      <c r="G12" s="78"/>
      <c r="H12" s="78"/>
    </row>
    <row r="13" spans="1:8" x14ac:dyDescent="0.2">
      <c r="A13" s="78"/>
      <c r="B13" s="78"/>
      <c r="C13" s="78"/>
      <c r="D13" s="78"/>
      <c r="E13" s="78"/>
      <c r="F13" s="78"/>
      <c r="G13" s="78"/>
      <c r="H13" s="78"/>
    </row>
    <row r="14" spans="1:8" x14ac:dyDescent="0.2">
      <c r="A14" s="78"/>
      <c r="B14" s="78"/>
      <c r="C14" s="78"/>
      <c r="D14" s="78"/>
      <c r="E14" s="78"/>
      <c r="F14" s="78"/>
      <c r="G14" s="78"/>
      <c r="H14" s="78"/>
    </row>
    <row r="15" spans="1:8" x14ac:dyDescent="0.2">
      <c r="A15" s="78"/>
      <c r="B15" s="78"/>
      <c r="C15" s="78"/>
      <c r="D15" s="78"/>
      <c r="E15" s="78"/>
      <c r="F15" s="78"/>
      <c r="G15" s="78"/>
      <c r="H15" s="78"/>
    </row>
    <row r="16" spans="1:8" x14ac:dyDescent="0.2">
      <c r="A16" s="78"/>
      <c r="B16" s="78"/>
      <c r="C16" s="78"/>
      <c r="D16" s="78"/>
      <c r="E16" s="78"/>
      <c r="F16" s="78"/>
      <c r="G16" s="78"/>
      <c r="H16" s="78"/>
    </row>
    <row r="17" spans="1:8" x14ac:dyDescent="0.2">
      <c r="A17" s="78"/>
      <c r="B17" s="78"/>
      <c r="C17" s="78"/>
      <c r="D17" s="78"/>
      <c r="E17" s="78"/>
      <c r="F17" s="78"/>
      <c r="G17" s="78"/>
      <c r="H17" s="78"/>
    </row>
  </sheetData>
  <mergeCells count="2">
    <mergeCell ref="A2:H6"/>
    <mergeCell ref="A10:H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DEB2-1C80-4CE9-BC12-ED009E0A1D9A}">
  <sheetPr codeName="Sheet8"/>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ContinuousInflowBioswale_Tmpt!C133</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ContinuousInflowBioswale_Tmpt!C134</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6E1F88C3-FD27-4CC5-A26C-469096E7AAFA}">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39937"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39937" r:id="rId4"/>
      </mc:Fallback>
    </mc:AlternateContent>
    <mc:AlternateContent xmlns:mc="http://schemas.openxmlformats.org/markup-compatibility/2006">
      <mc:Choice Requires="x14">
        <oleObject progId="Equation.3" shapeId="39938"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39938" r:id="rId6"/>
      </mc:Fallback>
    </mc:AlternateContent>
    <mc:AlternateContent xmlns:mc="http://schemas.openxmlformats.org/markup-compatibility/2006">
      <mc:Choice Requires="x14">
        <oleObject progId="Equation.3" shapeId="39939"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39939" r:id="rId8"/>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5C7-8EDB-43E9-B6FD-2A0EDE385C80}">
  <sheetPr codeName="Sheet6"/>
  <dimension ref="A1:D8"/>
  <sheetViews>
    <sheetView workbookViewId="0">
      <selection activeCell="A2" sqref="A2"/>
    </sheetView>
  </sheetViews>
  <sheetFormatPr defaultRowHeight="12.75" x14ac:dyDescent="0.2"/>
  <cols>
    <col min="1" max="1" width="58" customWidth="1"/>
    <col min="2" max="2" width="21.140625" style="3" customWidth="1"/>
  </cols>
  <sheetData>
    <row r="1" spans="1:4" x14ac:dyDescent="0.2">
      <c r="A1" s="105" t="s">
        <v>196</v>
      </c>
      <c r="B1" s="105"/>
      <c r="C1" s="105"/>
    </row>
    <row r="2" spans="1:4" x14ac:dyDescent="0.2">
      <c r="A2" s="4" t="s">
        <v>197</v>
      </c>
      <c r="B2" s="5" t="s">
        <v>198</v>
      </c>
      <c r="D2" t="s">
        <v>20</v>
      </c>
    </row>
    <row r="3" spans="1:4" x14ac:dyDescent="0.2">
      <c r="A3" s="6" t="s">
        <v>199</v>
      </c>
      <c r="B3" s="7">
        <v>0.2</v>
      </c>
      <c r="D3" t="s">
        <v>200</v>
      </c>
    </row>
    <row r="4" spans="1:4" x14ac:dyDescent="0.2">
      <c r="A4" s="8" t="s">
        <v>201</v>
      </c>
      <c r="B4" s="7">
        <v>0.22</v>
      </c>
    </row>
    <row r="5" spans="1:4" ht="25.5" x14ac:dyDescent="0.2">
      <c r="A5" s="9" t="s">
        <v>202</v>
      </c>
      <c r="B5" s="7">
        <v>0.35</v>
      </c>
    </row>
    <row r="6" spans="1:4" ht="13.5" x14ac:dyDescent="0.2">
      <c r="A6" s="10" t="s">
        <v>203</v>
      </c>
    </row>
    <row r="7" spans="1:4" x14ac:dyDescent="0.2">
      <c r="A7" s="2" t="s">
        <v>204</v>
      </c>
    </row>
    <row r="8" spans="1:4" x14ac:dyDescent="0.2">
      <c r="A8" t="s">
        <v>205</v>
      </c>
    </row>
  </sheetData>
  <sheetProtection password="CFBF" sheet="1"/>
  <mergeCells count="1">
    <mergeCell ref="A1:C1"/>
  </mergeCells>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ECBC9-F5B4-4F23-A0AD-17754700DD4E}">
  <sheetPr codeName="Sheet2">
    <pageSetUpPr fitToPage="1"/>
  </sheetPr>
  <dimension ref="A1:R205"/>
  <sheetViews>
    <sheetView zoomScale="85" zoomScaleNormal="85" workbookViewId="0"/>
  </sheetViews>
  <sheetFormatPr defaultColWidth="8.85546875" defaultRowHeight="12.75" x14ac:dyDescent="0.2"/>
  <cols>
    <col min="1" max="1" width="7.5703125" style="1" customWidth="1"/>
    <col min="2" max="2" width="12.42578125" customWidth="1"/>
    <col min="3" max="3" width="19.7109375" customWidth="1"/>
    <col min="10" max="10" width="18.140625" bestFit="1" customWidth="1"/>
    <col min="14" max="14" width="13.85546875" customWidth="1"/>
  </cols>
  <sheetData>
    <row r="1" spans="1:13" x14ac:dyDescent="0.2">
      <c r="A1" s="11"/>
      <c r="B1" s="12" t="s">
        <v>4</v>
      </c>
      <c r="C1" s="13"/>
      <c r="D1" s="14"/>
      <c r="E1" s="14"/>
      <c r="F1" s="14"/>
      <c r="G1" s="14"/>
      <c r="H1" s="14"/>
      <c r="I1" s="14"/>
      <c r="J1" s="14"/>
      <c r="K1" s="14"/>
      <c r="L1" s="14"/>
      <c r="M1" s="14"/>
    </row>
    <row r="2" spans="1:13" x14ac:dyDescent="0.2">
      <c r="A2" s="15"/>
      <c r="B2" s="16" t="s">
        <v>5</v>
      </c>
      <c r="C2" s="16"/>
      <c r="D2" s="15"/>
      <c r="E2" s="15"/>
      <c r="F2" s="15"/>
      <c r="G2" s="15"/>
      <c r="H2" s="15" t="s">
        <v>6</v>
      </c>
      <c r="I2" s="15"/>
      <c r="J2" s="15"/>
      <c r="K2" s="15"/>
      <c r="L2" s="15"/>
      <c r="M2" s="14"/>
    </row>
    <row r="3" spans="1:13" x14ac:dyDescent="0.2">
      <c r="A3" s="15"/>
      <c r="B3" s="16" t="s">
        <v>7</v>
      </c>
      <c r="C3" s="16"/>
      <c r="D3" s="15"/>
      <c r="E3" s="15"/>
      <c r="F3" s="15"/>
      <c r="G3" s="15"/>
      <c r="H3" s="15" t="s">
        <v>8</v>
      </c>
      <c r="I3" s="15"/>
      <c r="J3" s="15"/>
      <c r="K3" s="15"/>
      <c r="L3" s="15"/>
      <c r="M3" s="14"/>
    </row>
    <row r="4" spans="1:13" x14ac:dyDescent="0.2">
      <c r="A4" s="15"/>
      <c r="B4" s="16"/>
      <c r="C4" s="16"/>
      <c r="D4" s="15"/>
      <c r="E4" s="15"/>
      <c r="F4" s="15"/>
      <c r="G4" s="15"/>
      <c r="H4" s="15"/>
      <c r="I4" s="15"/>
      <c r="J4" s="15"/>
      <c r="K4" s="15"/>
      <c r="L4" s="15"/>
      <c r="M4" s="14"/>
    </row>
    <row r="5" spans="1:13" ht="15.75" x14ac:dyDescent="0.25">
      <c r="A5" s="27"/>
      <c r="B5" s="28" t="s">
        <v>9</v>
      </c>
      <c r="C5" s="27"/>
    </row>
    <row r="6" spans="1:13" ht="15.75" x14ac:dyDescent="0.25">
      <c r="A6" s="27"/>
      <c r="B6" s="28"/>
      <c r="C6" s="27"/>
    </row>
    <row r="7" spans="1:13" x14ac:dyDescent="0.2">
      <c r="B7" s="1" t="s">
        <v>10</v>
      </c>
    </row>
    <row r="8" spans="1:13" ht="14.25" x14ac:dyDescent="0.25">
      <c r="A8" s="1" t="s">
        <v>11</v>
      </c>
      <c r="B8" s="1" t="s">
        <v>12</v>
      </c>
    </row>
    <row r="10" spans="1:13" ht="15.75" x14ac:dyDescent="0.3">
      <c r="B10" t="s">
        <v>13</v>
      </c>
      <c r="C10" s="57"/>
      <c r="D10" s="63" t="s">
        <v>14</v>
      </c>
    </row>
    <row r="11" spans="1:13" x14ac:dyDescent="0.2">
      <c r="D11" s="63" t="s">
        <v>15</v>
      </c>
    </row>
    <row r="12" spans="1:13" x14ac:dyDescent="0.2">
      <c r="D12" s="63" t="s">
        <v>16</v>
      </c>
    </row>
    <row r="14" spans="1:13" ht="14.25" x14ac:dyDescent="0.25">
      <c r="A14" s="1" t="s">
        <v>17</v>
      </c>
      <c r="B14" s="1" t="s">
        <v>18</v>
      </c>
    </row>
    <row r="15" spans="1:13" x14ac:dyDescent="0.2">
      <c r="B15" s="29"/>
      <c r="C15" s="29" t="s">
        <v>19</v>
      </c>
      <c r="E15" s="17"/>
      <c r="F15" s="30" t="str">
        <f>IF(E15="","&lt;------- Choose Yes or No",IF(E15="Yes","Qwq=Qbiofil",""))</f>
        <v>&lt;------- Choose Yes or No</v>
      </c>
      <c r="H15" s="31"/>
    </row>
    <row r="16" spans="1:13" x14ac:dyDescent="0.2">
      <c r="B16" s="29"/>
      <c r="C16" s="29"/>
      <c r="E16" s="32"/>
      <c r="F16" s="31"/>
      <c r="H16" s="31"/>
    </row>
    <row r="17" spans="1:11" ht="13.15" customHeight="1" x14ac:dyDescent="0.2">
      <c r="B17" s="33" t="str">
        <f>IF(E15="","",IF(AND(E15="YES",ISNUMBER(C17)),"Leave Blank---&gt;",IF(AND(E15="YES",C17=""),"",IF(C17="","Enter Precip Value ---&gt;",""))))</f>
        <v/>
      </c>
      <c r="C17" s="18"/>
      <c r="D17" s="81"/>
      <c r="E17" s="82"/>
      <c r="F17" s="82"/>
      <c r="G17" s="83"/>
      <c r="H17" s="59" t="str">
        <f>IF(E15="","Choose YES or NO for box E15 above",IF(AND(E15="YES",D17="N/A"),"",IF(E15="YES","&lt;--Choose N/A",IF(OR(D17="",D17="N/A"),"&lt;--Choose either the 2-yr OR the 6-month precipitation",""))))</f>
        <v>Choose YES or NO for box E15 above</v>
      </c>
    </row>
    <row r="18" spans="1:11" x14ac:dyDescent="0.2">
      <c r="B18" s="34" t="str">
        <f>IF(OR(E15="",E15="YES"),"",IF(D17="2-year 24 hr precip depth (in)","P72%, 2-yr",""))</f>
        <v/>
      </c>
      <c r="C18" s="35" t="str">
        <f>IF(OR(E15="",E15="YES"),"",IF(D17="2-year 24 hr precip depth (in)",C17*0.72,""))</f>
        <v/>
      </c>
      <c r="D18" s="31" t="str">
        <f>IF(OR(E15="",E15="YES"),"",IF(D17="2-year 24 hr precip depth (in)","  72% of the 2-year 24 hr precip depth (in)",""))</f>
        <v/>
      </c>
    </row>
    <row r="19" spans="1:11" x14ac:dyDescent="0.2">
      <c r="B19" s="34"/>
      <c r="C19" s="35"/>
      <c r="D19" s="31"/>
    </row>
    <row r="20" spans="1:11" x14ac:dyDescent="0.2">
      <c r="B20" s="2"/>
      <c r="C20" s="60" t="str">
        <f>IF(E15="","","Continuous inflow bioswales are online----&gt;")</f>
        <v/>
      </c>
      <c r="E20" s="73" t="s">
        <v>20</v>
      </c>
      <c r="F20" s="59"/>
      <c r="H20" s="59"/>
    </row>
    <row r="22" spans="1:11" ht="15.75" x14ac:dyDescent="0.3">
      <c r="B22" s="34" t="s">
        <v>21</v>
      </c>
      <c r="C22" s="26">
        <f>IF(E15="Yes",C10,C10*(IF(AND(E20="online",D17="2-year 24 hr precip depth (in)"),1.41*C18-0.052,IF(AND(E20="online",D17="6-month 24 hr precip depth (in)"),1.41*C17-0.052,(IF(AND(E20="offline",D17="2-year 24 hr precip depth (in)"),2.5*C18-0.052,IF(AND(E20="offline",D17="6-month 24 hr precip depth (in)"),2.52*C17-0.052)))))))</f>
        <v>0</v>
      </c>
      <c r="D22" t="s">
        <v>22</v>
      </c>
    </row>
    <row r="24" spans="1:11" x14ac:dyDescent="0.2">
      <c r="A24" s="1" t="s">
        <v>23</v>
      </c>
      <c r="B24" s="1" t="s">
        <v>24</v>
      </c>
    </row>
    <row r="25" spans="1:11" x14ac:dyDescent="0.2">
      <c r="B25" s="29" t="s">
        <v>25</v>
      </c>
      <c r="C25" s="57"/>
      <c r="D25" s="31" t="s">
        <v>26</v>
      </c>
    </row>
    <row r="26" spans="1:11" x14ac:dyDescent="0.2">
      <c r="C26" s="59" t="str">
        <f>IF(C25="","",IF(C25&gt;0.05,"For slopes greater than 5%, install energy dissipaters; see HRM Table 5-4",IF(C25&lt;0.015,"Increase swale longitudinal slope; see HRM Table 5-4","")))</f>
        <v/>
      </c>
    </row>
    <row r="27" spans="1:11" x14ac:dyDescent="0.2">
      <c r="A27" s="1" t="s">
        <v>27</v>
      </c>
      <c r="B27" s="1" t="s">
        <v>28</v>
      </c>
    </row>
    <row r="28" spans="1:11" ht="13.15" customHeight="1" x14ac:dyDescent="0.2">
      <c r="B28" s="2" t="s">
        <v>29</v>
      </c>
      <c r="C28" s="88"/>
      <c r="D28" s="89"/>
      <c r="E28" s="89"/>
      <c r="F28" s="89"/>
      <c r="G28" s="89"/>
      <c r="H28" s="89"/>
      <c r="I28" s="89"/>
      <c r="J28" s="90"/>
      <c r="K28" t="s">
        <v>30</v>
      </c>
    </row>
    <row r="29" spans="1:11" x14ac:dyDescent="0.2">
      <c r="B29" s="29" t="s">
        <v>31</v>
      </c>
      <c r="C29" s="36" t="str">
        <f>IF(C28="","",IF(C28=Tables!A3,Tables!B3,IF(C28=Tables!A4,Tables!B4,IF(C28=Tables!A5,Tables!B5,Error))))</f>
        <v/>
      </c>
      <c r="D29" s="84" t="s">
        <v>32</v>
      </c>
      <c r="E29" s="85"/>
      <c r="F29" s="85"/>
      <c r="G29" s="85"/>
      <c r="H29" s="85"/>
      <c r="I29" s="85"/>
      <c r="J29" s="85"/>
    </row>
    <row r="30" spans="1:11" x14ac:dyDescent="0.2">
      <c r="C30" s="75"/>
      <c r="D30" s="75"/>
      <c r="E30" s="75"/>
      <c r="F30" s="75"/>
      <c r="G30" s="75"/>
      <c r="H30" s="75"/>
      <c r="I30" s="75"/>
    </row>
    <row r="31" spans="1:11" x14ac:dyDescent="0.2">
      <c r="A31" s="1" t="s">
        <v>33</v>
      </c>
      <c r="B31" s="1" t="s">
        <v>34</v>
      </c>
    </row>
    <row r="33" spans="1:12" x14ac:dyDescent="0.2">
      <c r="B33" s="34" t="s">
        <v>35</v>
      </c>
      <c r="C33" s="58"/>
      <c r="D33" t="s">
        <v>36</v>
      </c>
    </row>
    <row r="35" spans="1:12" x14ac:dyDescent="0.2">
      <c r="A35" s="1" t="s">
        <v>37</v>
      </c>
      <c r="B35" s="1" t="s">
        <v>38</v>
      </c>
    </row>
    <row r="37" spans="1:12" x14ac:dyDescent="0.2">
      <c r="A37" s="1" t="s">
        <v>39</v>
      </c>
      <c r="B37" s="86" t="s">
        <v>40</v>
      </c>
      <c r="C37" s="87"/>
      <c r="D37" s="87"/>
      <c r="E37" s="87"/>
      <c r="F37" s="87"/>
      <c r="G37" s="87"/>
      <c r="H37" s="87"/>
      <c r="J37" s="37"/>
      <c r="L37" s="35"/>
    </row>
    <row r="38" spans="1:12" x14ac:dyDescent="0.2">
      <c r="B38" s="87"/>
      <c r="C38" s="87"/>
      <c r="D38" s="87"/>
      <c r="E38" s="87"/>
      <c r="F38" s="87"/>
      <c r="G38" s="87"/>
      <c r="H38" s="87"/>
    </row>
    <row r="39" spans="1:12" x14ac:dyDescent="0.2">
      <c r="B39" s="62"/>
      <c r="C39" s="62"/>
      <c r="D39" s="62"/>
      <c r="E39" s="62"/>
      <c r="F39" s="62"/>
      <c r="G39" s="62"/>
      <c r="H39" s="62"/>
    </row>
    <row r="41" spans="1:12" x14ac:dyDescent="0.2">
      <c r="H41" t="s">
        <v>41</v>
      </c>
    </row>
    <row r="44" spans="1:12" x14ac:dyDescent="0.2">
      <c r="C44" t="s">
        <v>42</v>
      </c>
    </row>
    <row r="45" spans="1:12" ht="6.6" customHeight="1" x14ac:dyDescent="0.2"/>
    <row r="46" spans="1:12" ht="6.6" customHeight="1" x14ac:dyDescent="0.2"/>
    <row r="47" spans="1:12" ht="16.149999999999999" customHeight="1" x14ac:dyDescent="0.2"/>
    <row r="48" spans="1:12" x14ac:dyDescent="0.2">
      <c r="B48" s="1" t="s">
        <v>43</v>
      </c>
    </row>
    <row r="49" spans="1:16" ht="15.75" x14ac:dyDescent="0.3">
      <c r="A49" s="1" t="s">
        <v>44</v>
      </c>
      <c r="B49" s="2" t="s">
        <v>45</v>
      </c>
      <c r="C49" s="26">
        <f>C22</f>
        <v>0</v>
      </c>
      <c r="D49" s="2" t="s">
        <v>46</v>
      </c>
      <c r="N49" s="38"/>
    </row>
    <row r="50" spans="1:16" x14ac:dyDescent="0.2">
      <c r="B50" t="s">
        <v>47</v>
      </c>
      <c r="C50" s="26">
        <f>0.5*C57*(C54+C54+C55*C57+C56*C57)</f>
        <v>0</v>
      </c>
      <c r="D50" s="2" t="s">
        <v>48</v>
      </c>
    </row>
    <row r="51" spans="1:16" x14ac:dyDescent="0.2">
      <c r="B51" t="s">
        <v>49</v>
      </c>
      <c r="C51" s="26" t="e">
        <f>C50/(C54+(C57/(COS(ATAN(C55/1))))+(C57/(COS(ATAN(C56/1)))))</f>
        <v>#DIV/0!</v>
      </c>
      <c r="D51" s="2" t="s">
        <v>50</v>
      </c>
      <c r="N51" s="35"/>
    </row>
    <row r="52" spans="1:16" x14ac:dyDescent="0.2">
      <c r="B52" t="s">
        <v>25</v>
      </c>
      <c r="C52" s="26">
        <f>C25</f>
        <v>0</v>
      </c>
      <c r="D52" s="2" t="s">
        <v>51</v>
      </c>
      <c r="N52" s="26"/>
    </row>
    <row r="53" spans="1:16" x14ac:dyDescent="0.2">
      <c r="B53" t="s">
        <v>52</v>
      </c>
      <c r="C53" s="35" t="str">
        <f>C29</f>
        <v/>
      </c>
      <c r="D53" s="2" t="s">
        <v>53</v>
      </c>
      <c r="N53" s="35"/>
    </row>
    <row r="54" spans="1:16" x14ac:dyDescent="0.2">
      <c r="B54" t="s">
        <v>54</v>
      </c>
      <c r="C54" s="19"/>
      <c r="D54" s="2" t="s">
        <v>55</v>
      </c>
      <c r="N54" s="39"/>
    </row>
    <row r="55" spans="1:16" ht="15.75" x14ac:dyDescent="0.3">
      <c r="B55" s="2" t="s">
        <v>56</v>
      </c>
      <c r="C55" s="20"/>
      <c r="D55" t="s">
        <v>57</v>
      </c>
      <c r="N55" s="35"/>
    </row>
    <row r="56" spans="1:16" ht="15.75" x14ac:dyDescent="0.3">
      <c r="B56" s="2" t="s">
        <v>58</v>
      </c>
      <c r="C56" s="20"/>
      <c r="D56" t="s">
        <v>57</v>
      </c>
      <c r="N56" s="35"/>
    </row>
    <row r="57" spans="1:16" x14ac:dyDescent="0.2">
      <c r="B57" t="s">
        <v>35</v>
      </c>
      <c r="C57" s="26">
        <f>C33</f>
        <v>0</v>
      </c>
      <c r="D57" s="2" t="s">
        <v>59</v>
      </c>
      <c r="N57" s="35"/>
    </row>
    <row r="58" spans="1:16" x14ac:dyDescent="0.2">
      <c r="C58" s="35"/>
    </row>
    <row r="59" spans="1:16" ht="15.75" customHeight="1" x14ac:dyDescent="0.3">
      <c r="B59" t="s">
        <v>21</v>
      </c>
      <c r="C59" s="40" t="e">
        <f>(1.49*C50*(C51^(2/3))*(C52^0.5))/C53</f>
        <v>#DIV/0!</v>
      </c>
      <c r="D59" s="84" t="s">
        <v>60</v>
      </c>
      <c r="E59" s="84"/>
      <c r="F59" s="84"/>
      <c r="G59" s="84"/>
      <c r="H59" s="84"/>
      <c r="N59" s="38"/>
    </row>
    <row r="60" spans="1:16" x14ac:dyDescent="0.2">
      <c r="D60" s="84"/>
      <c r="E60" s="84"/>
      <c r="F60" s="84"/>
      <c r="G60" s="84"/>
      <c r="H60" s="84"/>
    </row>
    <row r="61" spans="1:16" x14ac:dyDescent="0.2">
      <c r="B61" s="1"/>
      <c r="D61" s="84"/>
      <c r="E61" s="84"/>
      <c r="F61" s="84"/>
      <c r="G61" s="84"/>
      <c r="H61" s="84"/>
    </row>
    <row r="62" spans="1:16" ht="12.75" customHeight="1" x14ac:dyDescent="0.2">
      <c r="E62" s="38"/>
      <c r="F62" s="41"/>
      <c r="G62" s="41"/>
      <c r="H62" s="41"/>
      <c r="I62" s="41"/>
      <c r="J62" s="41"/>
      <c r="P62" s="38"/>
    </row>
    <row r="63" spans="1:16" x14ac:dyDescent="0.2">
      <c r="B63" t="s">
        <v>61</v>
      </c>
      <c r="E63" s="38"/>
      <c r="F63" s="41"/>
      <c r="G63" s="41"/>
      <c r="H63" s="41"/>
      <c r="I63" s="41"/>
      <c r="J63" s="41"/>
      <c r="P63" s="38"/>
    </row>
    <row r="64" spans="1:16" x14ac:dyDescent="0.2">
      <c r="B64" s="59" t="str">
        <f>IF(C54&gt;10,"See Note 2 of HRM Table 5-4 for bioswale bottom widths greater than 10 feet",IF(C54&lt;2,"Minimum bioswale bottom width is 2 feet",""))</f>
        <v>Minimum bioswale bottom width is 2 feet</v>
      </c>
      <c r="E64" s="38"/>
      <c r="F64" s="74"/>
      <c r="G64" s="74"/>
      <c r="H64" s="74"/>
      <c r="I64" s="74"/>
      <c r="J64" s="74"/>
      <c r="P64" s="38"/>
    </row>
    <row r="65" spans="1:16" x14ac:dyDescent="0.2">
      <c r="E65" s="38"/>
      <c r="F65" s="74"/>
      <c r="G65" s="74"/>
      <c r="H65" s="74"/>
      <c r="I65" s="74"/>
      <c r="J65" s="74"/>
      <c r="P65" s="38"/>
    </row>
    <row r="67" spans="1:16" x14ac:dyDescent="0.2">
      <c r="A67" s="1" t="s">
        <v>62</v>
      </c>
      <c r="B67" s="42" t="s">
        <v>63</v>
      </c>
    </row>
    <row r="68" spans="1:16" x14ac:dyDescent="0.2">
      <c r="B68" s="42" t="s">
        <v>64</v>
      </c>
    </row>
    <row r="69" spans="1:16" ht="15.75" x14ac:dyDescent="0.3">
      <c r="B69" t="s">
        <v>21</v>
      </c>
      <c r="C69" s="26">
        <f>C49</f>
        <v>0</v>
      </c>
      <c r="D69" s="2" t="s">
        <v>46</v>
      </c>
      <c r="N69" s="38"/>
    </row>
    <row r="70" spans="1:16" x14ac:dyDescent="0.2">
      <c r="B70" t="s">
        <v>47</v>
      </c>
      <c r="C70" s="26">
        <f>0.5*C77*(C74+C74+C75*C77+C76*C77)</f>
        <v>0</v>
      </c>
      <c r="D70" s="2" t="s">
        <v>48</v>
      </c>
    </row>
    <row r="71" spans="1:16" x14ac:dyDescent="0.2">
      <c r="B71" t="s">
        <v>49</v>
      </c>
      <c r="C71" s="26" t="e">
        <f>C70/(C74+(C77/(COS(ATAN(C75/1))))+(C77/(COS(ATAN(C76/1)))))</f>
        <v>#DIV/0!</v>
      </c>
      <c r="D71" s="2" t="s">
        <v>50</v>
      </c>
      <c r="N71" s="35"/>
    </row>
    <row r="72" spans="1:16" x14ac:dyDescent="0.2">
      <c r="B72" t="s">
        <v>25</v>
      </c>
      <c r="C72" s="26">
        <f>C52</f>
        <v>0</v>
      </c>
      <c r="D72" s="2" t="s">
        <v>51</v>
      </c>
      <c r="N72" s="26"/>
    </row>
    <row r="73" spans="1:16" x14ac:dyDescent="0.2">
      <c r="B73" t="s">
        <v>52</v>
      </c>
      <c r="C73" s="35" t="str">
        <f>C53</f>
        <v/>
      </c>
      <c r="D73" s="2" t="s">
        <v>53</v>
      </c>
      <c r="N73" s="35"/>
    </row>
    <row r="74" spans="1:16" x14ac:dyDescent="0.2">
      <c r="B74" t="s">
        <v>54</v>
      </c>
      <c r="C74" s="21"/>
      <c r="D74" s="2" t="s">
        <v>65</v>
      </c>
      <c r="N74" s="39"/>
    </row>
    <row r="75" spans="1:16" ht="15.75" x14ac:dyDescent="0.3">
      <c r="B75" s="2" t="s">
        <v>56</v>
      </c>
      <c r="C75" s="35">
        <f>C55</f>
        <v>0</v>
      </c>
      <c r="D75" t="s">
        <v>57</v>
      </c>
      <c r="N75" s="35"/>
    </row>
    <row r="76" spans="1:16" ht="15.75" x14ac:dyDescent="0.3">
      <c r="B76" s="2" t="s">
        <v>58</v>
      </c>
      <c r="C76" s="35">
        <f>C56</f>
        <v>0</v>
      </c>
      <c r="D76" t="s">
        <v>57</v>
      </c>
      <c r="N76" s="35"/>
    </row>
    <row r="77" spans="1:16" x14ac:dyDescent="0.2">
      <c r="B77" t="s">
        <v>35</v>
      </c>
      <c r="C77" s="22"/>
      <c r="D77" s="2" t="s">
        <v>66</v>
      </c>
      <c r="N77" s="35"/>
    </row>
    <row r="78" spans="1:16" x14ac:dyDescent="0.2">
      <c r="C78" s="35"/>
    </row>
    <row r="79" spans="1:16" ht="15.75" customHeight="1" x14ac:dyDescent="0.3">
      <c r="B79" t="s">
        <v>21</v>
      </c>
      <c r="C79" s="40" t="e">
        <f>(1.49*C70*(C71^(2/3))*(C72^0.5))/C73</f>
        <v>#DIV/0!</v>
      </c>
      <c r="D79" s="84" t="s">
        <v>67</v>
      </c>
      <c r="E79" s="84"/>
      <c r="F79" s="84"/>
      <c r="G79" s="84"/>
      <c r="H79" s="84"/>
      <c r="N79" s="38"/>
    </row>
    <row r="80" spans="1:16" x14ac:dyDescent="0.2">
      <c r="D80" s="84"/>
      <c r="E80" s="84"/>
      <c r="F80" s="84"/>
      <c r="G80" s="84"/>
      <c r="H80" s="84"/>
    </row>
    <row r="81" spans="1:8" x14ac:dyDescent="0.2">
      <c r="D81" s="84"/>
      <c r="E81" s="84"/>
      <c r="F81" s="84"/>
      <c r="G81" s="84"/>
      <c r="H81" s="84"/>
    </row>
    <row r="82" spans="1:8" x14ac:dyDescent="0.2">
      <c r="D82" s="62"/>
      <c r="E82" s="62"/>
      <c r="F82" s="62"/>
      <c r="G82" s="62"/>
      <c r="H82" s="62"/>
    </row>
    <row r="83" spans="1:8" x14ac:dyDescent="0.2">
      <c r="B83" t="s">
        <v>61</v>
      </c>
      <c r="D83" s="62"/>
      <c r="E83" s="62"/>
      <c r="F83" s="62"/>
      <c r="G83" s="62"/>
      <c r="H83" s="62"/>
    </row>
    <row r="84" spans="1:8" x14ac:dyDescent="0.2">
      <c r="B84" s="59" t="str">
        <f>IF(C74&gt;10,"See Note 2 of HRM Table 5-4 for bioswale bottom widths greater than 10 feet",IF(C74&lt;2,"Minimum bioswale bottom width is 2 feet",""))</f>
        <v>Minimum bioswale bottom width is 2 feet</v>
      </c>
      <c r="D84" s="62"/>
      <c r="E84" s="62"/>
      <c r="F84" s="62"/>
      <c r="G84" s="62"/>
      <c r="H84" s="62"/>
    </row>
    <row r="85" spans="1:8" x14ac:dyDescent="0.2">
      <c r="B85" s="59" t="str">
        <f>IF(C77&gt;0.33,"Maximum water depth exceeded - See HRM Table 5-4 for bioswale maximum water depth","")</f>
        <v/>
      </c>
      <c r="D85" s="62"/>
      <c r="E85" s="62"/>
      <c r="F85" s="62"/>
      <c r="G85" s="62"/>
      <c r="H85" s="62"/>
    </row>
    <row r="86" spans="1:8" x14ac:dyDescent="0.2">
      <c r="B86" s="59" t="str">
        <f>IF(AND(C74&gt;16,C77&gt;0.33),"Try to reduce Qbiofil by limiting area flowing to the bioswale.","")</f>
        <v/>
      </c>
      <c r="D86" s="62"/>
      <c r="E86" s="62"/>
      <c r="F86" s="62"/>
      <c r="G86" s="62"/>
      <c r="H86" s="62"/>
    </row>
    <row r="87" spans="1:8" x14ac:dyDescent="0.2">
      <c r="D87" s="62"/>
      <c r="E87" s="62"/>
      <c r="F87" s="62"/>
      <c r="G87" s="62"/>
      <c r="H87" s="62"/>
    </row>
    <row r="88" spans="1:8" x14ac:dyDescent="0.2">
      <c r="D88" s="62"/>
      <c r="E88" s="62"/>
      <c r="F88" s="62"/>
      <c r="G88" s="62"/>
      <c r="H88" s="62"/>
    </row>
    <row r="89" spans="1:8" x14ac:dyDescent="0.2">
      <c r="A89" s="1" t="s">
        <v>68</v>
      </c>
      <c r="B89" s="1" t="s">
        <v>69</v>
      </c>
      <c r="D89" s="62"/>
      <c r="E89" s="62"/>
      <c r="F89" s="62"/>
      <c r="G89" s="62"/>
      <c r="H89" s="62"/>
    </row>
    <row r="90" spans="1:8" x14ac:dyDescent="0.2">
      <c r="B90" s="2" t="s">
        <v>70</v>
      </c>
      <c r="D90" s="57"/>
      <c r="E90" s="2" t="s">
        <v>71</v>
      </c>
    </row>
    <row r="91" spans="1:8" x14ac:dyDescent="0.2">
      <c r="B91" s="2" t="s">
        <v>72</v>
      </c>
      <c r="D91" s="57"/>
      <c r="E91" s="2" t="s">
        <v>50</v>
      </c>
    </row>
    <row r="92" spans="1:8" x14ac:dyDescent="0.2">
      <c r="B92" s="2" t="s">
        <v>73</v>
      </c>
      <c r="D92" s="57"/>
      <c r="E92" s="2" t="s">
        <v>51</v>
      </c>
    </row>
    <row r="93" spans="1:8" x14ac:dyDescent="0.2">
      <c r="B93" s="2" t="s">
        <v>74</v>
      </c>
      <c r="D93" s="58"/>
      <c r="E93" s="2" t="s">
        <v>53</v>
      </c>
    </row>
    <row r="94" spans="1:8" x14ac:dyDescent="0.2">
      <c r="B94" s="2" t="s">
        <v>75</v>
      </c>
      <c r="D94" s="55"/>
      <c r="E94" s="2" t="s">
        <v>76</v>
      </c>
    </row>
    <row r="95" spans="1:8" ht="15.75" x14ac:dyDescent="0.3">
      <c r="B95" s="2" t="s">
        <v>77</v>
      </c>
      <c r="D95" s="58"/>
      <c r="E95" t="s">
        <v>57</v>
      </c>
    </row>
    <row r="96" spans="1:8" ht="15.75" x14ac:dyDescent="0.3">
      <c r="B96" s="2" t="s">
        <v>78</v>
      </c>
      <c r="D96" s="58"/>
      <c r="E96" t="s">
        <v>57</v>
      </c>
    </row>
    <row r="97" spans="1:10" x14ac:dyDescent="0.2">
      <c r="B97" s="2" t="s">
        <v>79</v>
      </c>
      <c r="D97" s="56"/>
      <c r="E97" s="2" t="s">
        <v>66</v>
      </c>
    </row>
    <row r="98" spans="1:10" x14ac:dyDescent="0.2">
      <c r="B98" s="2"/>
      <c r="D98" s="70"/>
      <c r="E98" s="2"/>
    </row>
    <row r="99" spans="1:10" ht="13.15" customHeight="1" x14ac:dyDescent="0.2">
      <c r="A99" s="1" t="s">
        <v>80</v>
      </c>
      <c r="B99" s="91" t="s">
        <v>81</v>
      </c>
      <c r="C99" s="91"/>
      <c r="D99" s="91"/>
      <c r="E99" s="91"/>
      <c r="F99" s="91"/>
      <c r="G99" s="91"/>
      <c r="H99" s="91"/>
      <c r="I99" s="91"/>
      <c r="J99" s="91"/>
    </row>
    <row r="100" spans="1:10" x14ac:dyDescent="0.2">
      <c r="B100" s="91"/>
      <c r="C100" s="91"/>
      <c r="D100" s="91"/>
      <c r="E100" s="91"/>
      <c r="F100" s="91"/>
      <c r="G100" s="91"/>
      <c r="H100" s="91"/>
      <c r="I100" s="91"/>
      <c r="J100" s="91"/>
    </row>
    <row r="101" spans="1:10" x14ac:dyDescent="0.2">
      <c r="D101" s="31"/>
    </row>
    <row r="102" spans="1:10" ht="25.5" customHeight="1" x14ac:dyDescent="0.2">
      <c r="B102" t="s">
        <v>35</v>
      </c>
      <c r="C102" s="72"/>
      <c r="D102" s="31" t="s">
        <v>82</v>
      </c>
      <c r="E102" s="77" t="s">
        <v>83</v>
      </c>
      <c r="F102" s="77"/>
      <c r="G102" s="77"/>
      <c r="H102" s="77"/>
      <c r="I102" s="77"/>
    </row>
    <row r="103" spans="1:10" x14ac:dyDescent="0.2">
      <c r="D103" s="31"/>
      <c r="E103" s="77"/>
      <c r="F103" s="77"/>
      <c r="G103" s="77"/>
      <c r="H103" s="77"/>
      <c r="I103" s="77"/>
    </row>
    <row r="104" spans="1:10" x14ac:dyDescent="0.2">
      <c r="B104" s="1"/>
      <c r="C104" s="69" t="s">
        <v>84</v>
      </c>
      <c r="D104" s="1"/>
      <c r="E104" s="71"/>
      <c r="F104" s="71"/>
      <c r="G104" s="71"/>
      <c r="H104" s="71"/>
      <c r="I104" s="71"/>
    </row>
    <row r="105" spans="1:10" ht="15.75" x14ac:dyDescent="0.3">
      <c r="B105" t="s">
        <v>85</v>
      </c>
      <c r="C105" s="72"/>
      <c r="D105" s="31" t="s">
        <v>86</v>
      </c>
      <c r="E105" t="str">
        <f>IF(E15="YES","Qwq from SBUH","Qwq determined from MGSFlood as per HRM")</f>
        <v>Qwq determined from MGSFlood as per HRM</v>
      </c>
    </row>
    <row r="106" spans="1:10" ht="15.75" x14ac:dyDescent="0.3">
      <c r="B106" t="s">
        <v>87</v>
      </c>
      <c r="C106" s="72"/>
      <c r="D106" s="31" t="s">
        <v>82</v>
      </c>
      <c r="E106" t="s">
        <v>88</v>
      </c>
    </row>
    <row r="107" spans="1:10" x14ac:dyDescent="0.2">
      <c r="D107" s="31"/>
    </row>
    <row r="108" spans="1:10" x14ac:dyDescent="0.2">
      <c r="B108" s="1"/>
      <c r="C108" s="69" t="s">
        <v>89</v>
      </c>
      <c r="D108" s="1"/>
    </row>
    <row r="109" spans="1:10" ht="15.75" x14ac:dyDescent="0.3">
      <c r="B109" t="s">
        <v>90</v>
      </c>
      <c r="C109" s="72"/>
      <c r="D109" s="31" t="s">
        <v>86</v>
      </c>
      <c r="E109" t="s">
        <v>91</v>
      </c>
    </row>
    <row r="110" spans="1:10" ht="15.75" x14ac:dyDescent="0.3">
      <c r="B110" t="s">
        <v>92</v>
      </c>
      <c r="C110" s="72"/>
      <c r="D110" s="31" t="s">
        <v>82</v>
      </c>
      <c r="E110" t="s">
        <v>88</v>
      </c>
    </row>
    <row r="111" spans="1:10" x14ac:dyDescent="0.2">
      <c r="D111" s="31"/>
    </row>
    <row r="112" spans="1:10" x14ac:dyDescent="0.2">
      <c r="B112" s="1"/>
      <c r="C112" s="69" t="s">
        <v>93</v>
      </c>
      <c r="D112" s="1"/>
    </row>
    <row r="113" spans="2:5" ht="15.75" x14ac:dyDescent="0.3">
      <c r="B113" t="s">
        <v>94</v>
      </c>
      <c r="C113" s="72"/>
      <c r="D113" s="31" t="s">
        <v>86</v>
      </c>
      <c r="E113" t="s">
        <v>91</v>
      </c>
    </row>
    <row r="114" spans="2:5" ht="15.75" x14ac:dyDescent="0.3">
      <c r="B114" t="s">
        <v>95</v>
      </c>
      <c r="C114" s="72"/>
      <c r="D114" s="31" t="s">
        <v>82</v>
      </c>
      <c r="E114" t="s">
        <v>88</v>
      </c>
    </row>
    <row r="115" spans="2:5" x14ac:dyDescent="0.2">
      <c r="D115" s="31"/>
    </row>
    <row r="116" spans="2:5" x14ac:dyDescent="0.2">
      <c r="B116" s="1"/>
      <c r="C116" s="69" t="s">
        <v>96</v>
      </c>
      <c r="D116" s="1"/>
    </row>
    <row r="117" spans="2:5" ht="15.75" x14ac:dyDescent="0.3">
      <c r="B117" t="s">
        <v>97</v>
      </c>
      <c r="C117" s="72"/>
      <c r="D117" s="31" t="s">
        <v>86</v>
      </c>
      <c r="E117" t="s">
        <v>91</v>
      </c>
    </row>
    <row r="118" spans="2:5" ht="15.75" x14ac:dyDescent="0.3">
      <c r="B118" t="s">
        <v>98</v>
      </c>
      <c r="C118" s="72"/>
      <c r="D118" s="31" t="s">
        <v>82</v>
      </c>
      <c r="E118" t="s">
        <v>88</v>
      </c>
    </row>
    <row r="119" spans="2:5" x14ac:dyDescent="0.2">
      <c r="D119" s="31"/>
    </row>
    <row r="120" spans="2:5" x14ac:dyDescent="0.2">
      <c r="B120" s="1"/>
      <c r="C120" s="69" t="s">
        <v>99</v>
      </c>
      <c r="D120" s="1"/>
    </row>
    <row r="121" spans="2:5" ht="15.75" x14ac:dyDescent="0.3">
      <c r="B121" t="s">
        <v>100</v>
      </c>
      <c r="C121" s="72"/>
      <c r="D121" s="31" t="s">
        <v>86</v>
      </c>
      <c r="E121" t="s">
        <v>91</v>
      </c>
    </row>
    <row r="122" spans="2:5" ht="15.75" x14ac:dyDescent="0.3">
      <c r="B122" t="s">
        <v>101</v>
      </c>
      <c r="C122" s="72"/>
      <c r="D122" s="31" t="s">
        <v>82</v>
      </c>
      <c r="E122" t="s">
        <v>88</v>
      </c>
    </row>
    <row r="123" spans="2:5" x14ac:dyDescent="0.2">
      <c r="D123" s="31"/>
    </row>
    <row r="124" spans="2:5" x14ac:dyDescent="0.2">
      <c r="B124" s="1"/>
      <c r="C124" s="69" t="s">
        <v>102</v>
      </c>
      <c r="D124" s="1"/>
    </row>
    <row r="125" spans="2:5" ht="15.75" x14ac:dyDescent="0.3">
      <c r="B125" t="s">
        <v>103</v>
      </c>
      <c r="C125" s="72"/>
      <c r="D125" s="31" t="s">
        <v>86</v>
      </c>
      <c r="E125" t="s">
        <v>91</v>
      </c>
    </row>
    <row r="126" spans="2:5" ht="15.75" x14ac:dyDescent="0.3">
      <c r="B126" t="s">
        <v>104</v>
      </c>
      <c r="C126" s="72"/>
      <c r="D126" s="31" t="s">
        <v>82</v>
      </c>
      <c r="E126" t="s">
        <v>88</v>
      </c>
    </row>
    <row r="127" spans="2:5" x14ac:dyDescent="0.2">
      <c r="D127" s="31"/>
    </row>
    <row r="128" spans="2:5" x14ac:dyDescent="0.2">
      <c r="B128" s="1"/>
      <c r="C128" s="69" t="s">
        <v>105</v>
      </c>
      <c r="D128" s="1"/>
    </row>
    <row r="129" spans="1:7" ht="15.75" x14ac:dyDescent="0.3">
      <c r="B129" t="s">
        <v>106</v>
      </c>
      <c r="C129" s="72"/>
      <c r="D129" s="31" t="s">
        <v>86</v>
      </c>
      <c r="E129" t="s">
        <v>91</v>
      </c>
    </row>
    <row r="130" spans="1:7" ht="15.75" x14ac:dyDescent="0.3">
      <c r="B130" t="s">
        <v>107</v>
      </c>
      <c r="C130" s="72"/>
      <c r="D130" s="31" t="s">
        <v>82</v>
      </c>
      <c r="E130" t="s">
        <v>88</v>
      </c>
    </row>
    <row r="131" spans="1:7" x14ac:dyDescent="0.2">
      <c r="D131" s="31"/>
    </row>
    <row r="132" spans="1:7" x14ac:dyDescent="0.2">
      <c r="B132" s="1"/>
      <c r="C132" s="69" t="s">
        <v>108</v>
      </c>
      <c r="D132" s="1"/>
    </row>
    <row r="133" spans="1:7" ht="15.75" x14ac:dyDescent="0.3">
      <c r="B133" t="s">
        <v>109</v>
      </c>
      <c r="C133" s="72"/>
      <c r="D133" s="31" t="s">
        <v>86</v>
      </c>
      <c r="E133" t="s">
        <v>91</v>
      </c>
    </row>
    <row r="134" spans="1:7" ht="15.75" x14ac:dyDescent="0.3">
      <c r="B134" t="s">
        <v>110</v>
      </c>
      <c r="C134" s="72"/>
      <c r="D134" s="31" t="s">
        <v>82</v>
      </c>
      <c r="E134" t="s">
        <v>88</v>
      </c>
    </row>
    <row r="135" spans="1:7" x14ac:dyDescent="0.2">
      <c r="D135" s="31"/>
    </row>
    <row r="136" spans="1:7" x14ac:dyDescent="0.2">
      <c r="A136" s="1" t="s">
        <v>111</v>
      </c>
      <c r="B136" s="1" t="s">
        <v>112</v>
      </c>
      <c r="D136" s="31"/>
    </row>
    <row r="137" spans="1:7" x14ac:dyDescent="0.2">
      <c r="B137" s="2" t="s">
        <v>113</v>
      </c>
      <c r="D137" s="31"/>
    </row>
    <row r="138" spans="1:7" x14ac:dyDescent="0.2">
      <c r="D138" s="31"/>
    </row>
    <row r="139" spans="1:7" ht="14.25" x14ac:dyDescent="0.25">
      <c r="A139" s="1" t="s">
        <v>114</v>
      </c>
      <c r="B139" s="1" t="s">
        <v>115</v>
      </c>
      <c r="D139" s="31"/>
    </row>
    <row r="140" spans="1:7" ht="15.75" x14ac:dyDescent="0.3">
      <c r="B140" s="2" t="s">
        <v>116</v>
      </c>
      <c r="C140" s="26">
        <f>Area1!B40</f>
        <v>0</v>
      </c>
      <c r="D140" s="31" t="s">
        <v>86</v>
      </c>
      <c r="E140" t="s">
        <v>117</v>
      </c>
      <c r="F140" t="e">
        <f>Area1!B46</f>
        <v>#DIV/0!</v>
      </c>
      <c r="G140" t="s">
        <v>118</v>
      </c>
    </row>
    <row r="141" spans="1:7" ht="15.75" x14ac:dyDescent="0.3">
      <c r="B141" s="2" t="s">
        <v>119</v>
      </c>
      <c r="C141" s="26">
        <f>Area2!B40</f>
        <v>0</v>
      </c>
      <c r="D141" s="31" t="s">
        <v>86</v>
      </c>
      <c r="E141" t="s">
        <v>120</v>
      </c>
      <c r="F141" t="e">
        <f>Area2!B46</f>
        <v>#DIV/0!</v>
      </c>
      <c r="G141" t="s">
        <v>118</v>
      </c>
    </row>
    <row r="142" spans="1:7" ht="15.75" x14ac:dyDescent="0.3">
      <c r="B142" s="2" t="s">
        <v>121</v>
      </c>
      <c r="C142" s="26">
        <f>Area3!B40</f>
        <v>0</v>
      </c>
      <c r="D142" s="31" t="s">
        <v>86</v>
      </c>
      <c r="E142" t="s">
        <v>122</v>
      </c>
      <c r="F142" t="e">
        <f>Area3!B46</f>
        <v>#DIV/0!</v>
      </c>
      <c r="G142" t="s">
        <v>118</v>
      </c>
    </row>
    <row r="143" spans="1:7" ht="15.75" x14ac:dyDescent="0.3">
      <c r="B143" s="2" t="s">
        <v>123</v>
      </c>
      <c r="C143" s="26">
        <f>Area4!B40</f>
        <v>0</v>
      </c>
      <c r="D143" s="31" t="s">
        <v>86</v>
      </c>
      <c r="E143" t="s">
        <v>124</v>
      </c>
      <c r="F143" t="e">
        <f>Area4!B46</f>
        <v>#DIV/0!</v>
      </c>
      <c r="G143" t="s">
        <v>118</v>
      </c>
    </row>
    <row r="144" spans="1:7" ht="15.75" x14ac:dyDescent="0.3">
      <c r="B144" s="2" t="s">
        <v>125</v>
      </c>
      <c r="C144" s="26">
        <f>Area5!B40</f>
        <v>0</v>
      </c>
      <c r="D144" s="31" t="s">
        <v>86</v>
      </c>
      <c r="E144" t="s">
        <v>126</v>
      </c>
      <c r="F144" t="e">
        <f>Area5!B46</f>
        <v>#DIV/0!</v>
      </c>
      <c r="G144" t="s">
        <v>118</v>
      </c>
    </row>
    <row r="145" spans="1:11" ht="15.75" x14ac:dyDescent="0.3">
      <c r="B145" s="2" t="s">
        <v>127</v>
      </c>
      <c r="C145" s="26">
        <f>Area6!B40</f>
        <v>0</v>
      </c>
      <c r="D145" s="31" t="s">
        <v>86</v>
      </c>
      <c r="E145" t="s">
        <v>128</v>
      </c>
      <c r="F145" t="e">
        <f>Area6!B46</f>
        <v>#DIV/0!</v>
      </c>
      <c r="G145" t="s">
        <v>118</v>
      </c>
    </row>
    <row r="146" spans="1:11" ht="15.75" x14ac:dyDescent="0.3">
      <c r="B146" s="2" t="s">
        <v>129</v>
      </c>
      <c r="C146" s="26">
        <f>Area7!B40</f>
        <v>0</v>
      </c>
      <c r="D146" s="31" t="s">
        <v>86</v>
      </c>
      <c r="E146" t="s">
        <v>130</v>
      </c>
      <c r="F146" t="e">
        <f>Area7!B46</f>
        <v>#DIV/0!</v>
      </c>
      <c r="G146" t="s">
        <v>118</v>
      </c>
    </row>
    <row r="147" spans="1:11" ht="15.75" x14ac:dyDescent="0.3">
      <c r="B147" s="2" t="s">
        <v>131</v>
      </c>
      <c r="C147" s="26">
        <f>Area8!B40</f>
        <v>0</v>
      </c>
      <c r="D147" s="31" t="s">
        <v>86</v>
      </c>
      <c r="E147" t="s">
        <v>132</v>
      </c>
      <c r="F147" t="e">
        <f>Area8!B46</f>
        <v>#DIV/0!</v>
      </c>
      <c r="G147" t="s">
        <v>118</v>
      </c>
    </row>
    <row r="148" spans="1:11" x14ac:dyDescent="0.2">
      <c r="B148" s="2"/>
      <c r="C148" s="26"/>
      <c r="D148" s="31"/>
    </row>
    <row r="149" spans="1:11" ht="14.25" x14ac:dyDescent="0.25">
      <c r="A149" s="1" t="s">
        <v>133</v>
      </c>
      <c r="B149" s="1" t="s">
        <v>134</v>
      </c>
      <c r="D149" s="31"/>
    </row>
    <row r="150" spans="1:11" ht="15.75" x14ac:dyDescent="0.3">
      <c r="B150" t="s">
        <v>135</v>
      </c>
      <c r="C150" s="26">
        <f>SUM(C140:C147)</f>
        <v>0</v>
      </c>
      <c r="D150" s="31" t="s">
        <v>86</v>
      </c>
    </row>
    <row r="151" spans="1:11" ht="15.75" x14ac:dyDescent="0.3">
      <c r="B151" t="s">
        <v>136</v>
      </c>
      <c r="C151" s="26" t="e">
        <f>(IF(ISERROR(F140),0,(C140*F140))+IF(ISERROR(F141),0,(F141*C141))+IF(ISERROR(F142),0,(F142*C142))+IF(ISERROR(F143),0,(F143*C143))+IF(ISERROR(F144),0,(F144*C144))+IF(ISERROR(F145),0,(F145*C145))+IF(ISERROR(F146),0,(F146*C146))+IF(ISERROR(F147),0,(F147*C147)))/C150</f>
        <v>#DIV/0!</v>
      </c>
      <c r="D151" s="31"/>
    </row>
    <row r="152" spans="1:11" x14ac:dyDescent="0.2">
      <c r="D152" s="31"/>
    </row>
    <row r="153" spans="1:11" ht="15.75" x14ac:dyDescent="0.3">
      <c r="A153" s="1" t="s">
        <v>137</v>
      </c>
      <c r="B153" s="2" t="s">
        <v>138</v>
      </c>
      <c r="D153" s="31"/>
    </row>
    <row r="154" spans="1:11" ht="15.75" x14ac:dyDescent="0.3">
      <c r="B154" t="s">
        <v>49</v>
      </c>
      <c r="C154" s="35" t="e">
        <f>C150/C22</f>
        <v>#DIV/0!</v>
      </c>
      <c r="D154" s="31" t="s">
        <v>139</v>
      </c>
    </row>
    <row r="155" spans="1:11" ht="15.75" x14ac:dyDescent="0.3">
      <c r="B155" t="s">
        <v>140</v>
      </c>
      <c r="C155" s="35" t="e">
        <f>C154*C151</f>
        <v>#DIV/0!</v>
      </c>
      <c r="D155" s="31" t="s">
        <v>141</v>
      </c>
    </row>
    <row r="156" spans="1:11" x14ac:dyDescent="0.2">
      <c r="D156" s="31"/>
    </row>
    <row r="157" spans="1:11" ht="12.75" customHeight="1" x14ac:dyDescent="0.2">
      <c r="A157" s="67" t="s">
        <v>142</v>
      </c>
      <c r="B157" s="66"/>
      <c r="C157" s="66"/>
      <c r="D157" s="66"/>
      <c r="E157" s="66"/>
      <c r="F157" s="66"/>
      <c r="G157" s="66"/>
      <c r="H157" s="66"/>
      <c r="I157" s="66"/>
      <c r="J157" s="66"/>
      <c r="K157" s="66"/>
    </row>
    <row r="158" spans="1:11" x14ac:dyDescent="0.2">
      <c r="C158" s="66"/>
      <c r="D158" s="66"/>
      <c r="E158" s="66"/>
      <c r="F158" s="66"/>
      <c r="G158" s="66"/>
      <c r="H158" s="66"/>
      <c r="I158" s="66"/>
      <c r="J158" s="66"/>
      <c r="K158" s="66"/>
    </row>
    <row r="159" spans="1:11" ht="15.75" x14ac:dyDescent="0.3">
      <c r="A159" s="1" t="s">
        <v>143</v>
      </c>
      <c r="B159" s="2" t="s">
        <v>144</v>
      </c>
      <c r="C159" s="35" t="e">
        <f>1080-C155</f>
        <v>#DIV/0!</v>
      </c>
      <c r="D159" s="31" t="s">
        <v>118</v>
      </c>
      <c r="E159" s="64" t="s">
        <v>145</v>
      </c>
    </row>
    <row r="160" spans="1:11" x14ac:dyDescent="0.2">
      <c r="C160" s="35"/>
      <c r="D160" s="31"/>
    </row>
    <row r="161" spans="1:10" ht="15.6" customHeight="1" x14ac:dyDescent="0.3">
      <c r="A161" s="1" t="s">
        <v>146</v>
      </c>
      <c r="B161" t="s">
        <v>147</v>
      </c>
      <c r="C161" s="65" t="e">
        <f>C22/D90</f>
        <v>#DIV/0!</v>
      </c>
      <c r="D161" s="31" t="s">
        <v>148</v>
      </c>
      <c r="E161" s="31" t="s">
        <v>149</v>
      </c>
      <c r="F161" s="62" t="s">
        <v>150</v>
      </c>
      <c r="G161" s="76"/>
      <c r="H161" s="76"/>
      <c r="I161" s="76"/>
      <c r="J161" s="76"/>
    </row>
    <row r="162" spans="1:10" x14ac:dyDescent="0.2">
      <c r="C162" s="35"/>
      <c r="D162" s="31"/>
      <c r="F162" s="76"/>
      <c r="G162" s="76"/>
      <c r="H162" s="76"/>
      <c r="I162" s="76"/>
      <c r="J162" s="76"/>
    </row>
    <row r="163" spans="1:10" x14ac:dyDescent="0.2">
      <c r="C163" s="35"/>
      <c r="D163" s="31"/>
    </row>
    <row r="164" spans="1:10" ht="13.15" customHeight="1" x14ac:dyDescent="0.2">
      <c r="A164" s="1" t="s">
        <v>151</v>
      </c>
      <c r="B164" t="s">
        <v>152</v>
      </c>
      <c r="C164" s="35" t="e">
        <f>C161*C159</f>
        <v>#DIV/0!</v>
      </c>
      <c r="D164" s="31" t="s">
        <v>82</v>
      </c>
      <c r="E164" s="2" t="s">
        <v>153</v>
      </c>
      <c r="F164" s="62"/>
      <c r="G164" s="62"/>
      <c r="H164" s="62"/>
      <c r="I164" s="62"/>
      <c r="J164" s="62"/>
    </row>
    <row r="165" spans="1:10" x14ac:dyDescent="0.2">
      <c r="D165" s="31"/>
      <c r="E165" s="62"/>
      <c r="F165" s="62"/>
      <c r="G165" s="62"/>
      <c r="H165" s="62"/>
      <c r="I165" s="62"/>
      <c r="J165" s="62"/>
    </row>
    <row r="166" spans="1:10" ht="15.75" x14ac:dyDescent="0.3">
      <c r="B166" t="s">
        <v>154</v>
      </c>
      <c r="C166">
        <f>C106+C110+C114+C118+C122+C126+C130+C134</f>
        <v>0</v>
      </c>
      <c r="D166" s="31" t="s">
        <v>82</v>
      </c>
      <c r="E166" s="2" t="s">
        <v>155</v>
      </c>
    </row>
    <row r="167" spans="1:10" x14ac:dyDescent="0.2">
      <c r="D167" s="31"/>
    </row>
    <row r="168" spans="1:10" ht="15.75" x14ac:dyDescent="0.3">
      <c r="B168" t="s">
        <v>156</v>
      </c>
      <c r="C168" s="68" t="e">
        <f>IF(C164&gt;C166,C164,C166)</f>
        <v>#DIV/0!</v>
      </c>
      <c r="D168" s="31" t="s">
        <v>82</v>
      </c>
      <c r="E168" s="2" t="s">
        <v>157</v>
      </c>
    </row>
    <row r="169" spans="1:10" x14ac:dyDescent="0.2">
      <c r="C169" s="35"/>
      <c r="D169" s="31"/>
      <c r="E169" s="2"/>
    </row>
    <row r="170" spans="1:10" x14ac:dyDescent="0.2">
      <c r="C170" s="35"/>
      <c r="D170" s="2"/>
      <c r="F170" s="45"/>
      <c r="H170" s="2"/>
    </row>
    <row r="171" spans="1:10" x14ac:dyDescent="0.2">
      <c r="A171" s="1" t="s">
        <v>158</v>
      </c>
      <c r="B171" s="2" t="s">
        <v>159</v>
      </c>
      <c r="C171" s="35"/>
      <c r="D171" s="2"/>
      <c r="F171" s="45"/>
      <c r="H171" s="2"/>
    </row>
    <row r="172" spans="1:10" x14ac:dyDescent="0.2">
      <c r="B172" s="2"/>
      <c r="C172" s="35"/>
      <c r="D172" s="2"/>
      <c r="F172" s="45"/>
      <c r="H172" s="2"/>
    </row>
    <row r="173" spans="1:10" x14ac:dyDescent="0.2">
      <c r="C173" s="52"/>
      <c r="D173" t="str">
        <f>IF(C173="YES","Repeat Steps D3 - D10","Continue to Step FC-1")</f>
        <v>Continue to Step FC-1</v>
      </c>
      <c r="E173" s="2"/>
    </row>
    <row r="174" spans="1:10" x14ac:dyDescent="0.2">
      <c r="C174" s="2"/>
      <c r="E174" s="2"/>
    </row>
    <row r="175" spans="1:10" x14ac:dyDescent="0.2">
      <c r="B175" s="1" t="str">
        <f>IF(E20="Online","Freeboard Check (Online Swales Only)","Freeboard Check Not Required for Offline Swales")</f>
        <v>Freeboard Check (Online Swales Only)</v>
      </c>
    </row>
    <row r="177" spans="1:18" x14ac:dyDescent="0.2">
      <c r="A177" s="1" t="s">
        <v>160</v>
      </c>
      <c r="B177" s="2" t="str">
        <f>IF(AND(E15="No",E20="Online"),"Q50yr",IF(AND(E15="Yes",E20="Online"),"Q25yr","N/A"))</f>
        <v>N/A</v>
      </c>
      <c r="C177" s="58"/>
      <c r="D177" s="77" t="str">
        <f>IF(B177="Q50yr","cfs - MGSFlood, use the 50 year 15 minute time step, see HRM.  If using station data, use the 100 year, 1 hour rate and multiply by the safety factor below.",IF(B177="Q25yr","cfs - If in Eastern Washington, use the 25 year storm event","THIS IS AN OFFLINE SWALE - THE FREEBOARD CHECK IS NOT REQUIRED"))</f>
        <v>THIS IS AN OFFLINE SWALE - THE FREEBOARD CHECK IS NOT REQUIRED</v>
      </c>
      <c r="E177" s="78"/>
      <c r="F177" s="78"/>
      <c r="G177" s="78"/>
      <c r="H177" s="78"/>
      <c r="I177" s="78"/>
      <c r="M177" s="38"/>
      <c r="R177" s="26"/>
    </row>
    <row r="178" spans="1:18" x14ac:dyDescent="0.2">
      <c r="B178" s="2"/>
      <c r="C178" s="35"/>
      <c r="D178" s="77"/>
      <c r="E178" s="78"/>
      <c r="F178" s="78"/>
      <c r="G178" s="78"/>
      <c r="H178" s="78"/>
      <c r="I178" s="78"/>
      <c r="R178" s="26"/>
    </row>
    <row r="179" spans="1:18" x14ac:dyDescent="0.2">
      <c r="B179" s="2"/>
      <c r="C179" s="35"/>
      <c r="D179" s="78"/>
      <c r="E179" s="78"/>
      <c r="F179" s="78"/>
      <c r="G179" s="78"/>
      <c r="H179" s="78"/>
      <c r="I179" s="78"/>
      <c r="M179" s="35"/>
      <c r="R179" s="26"/>
    </row>
    <row r="180" spans="1:18" x14ac:dyDescent="0.2">
      <c r="C180" s="58"/>
      <c r="D180" s="2" t="str">
        <f>IF(B177="N/A","",IF(B177="Q50yr","Safety Factor (For MGSFlood, 1.0 if using extended time series, 1.6 if using station data)",IF(B177="Q25yr","Safety Factor - For SBUH or SCS, use 1.0","Safety Factor")))</f>
        <v/>
      </c>
      <c r="M180" s="26"/>
      <c r="R180" s="26"/>
    </row>
    <row r="181" spans="1:18" ht="15.75" x14ac:dyDescent="0.3">
      <c r="B181" t="s">
        <v>161</v>
      </c>
      <c r="C181" s="35">
        <f>C177*C180</f>
        <v>0</v>
      </c>
      <c r="D181" t="str">
        <f>IF(B177="N/A","",IF(E15="NO","cfs - Q50yr x saftey factor","cfs - Q25yr x saftey factor"))</f>
        <v/>
      </c>
      <c r="M181" s="35"/>
      <c r="R181" s="35"/>
    </row>
    <row r="182" spans="1:18" x14ac:dyDescent="0.2">
      <c r="A182" s="1" t="s">
        <v>162</v>
      </c>
      <c r="B182" t="s">
        <v>52</v>
      </c>
      <c r="C182" s="35">
        <v>0.03</v>
      </c>
      <c r="D182" t="s">
        <v>163</v>
      </c>
      <c r="M182" s="39"/>
      <c r="R182" s="43"/>
    </row>
    <row r="183" spans="1:18" x14ac:dyDescent="0.2">
      <c r="A183" s="1" t="s">
        <v>164</v>
      </c>
      <c r="B183" t="s">
        <v>165</v>
      </c>
      <c r="C183" s="23"/>
      <c r="D183" s="2" t="s">
        <v>66</v>
      </c>
      <c r="M183" s="35"/>
      <c r="Q183" s="2"/>
      <c r="R183" s="35"/>
    </row>
    <row r="184" spans="1:18" x14ac:dyDescent="0.2">
      <c r="B184" s="2" t="s">
        <v>47</v>
      </c>
      <c r="C184" s="35">
        <f>0.5*C183*(C187+C187+C188*C183+C189*C183)</f>
        <v>0</v>
      </c>
      <c r="D184" s="2" t="s">
        <v>48</v>
      </c>
      <c r="E184" s="35"/>
      <c r="N184" s="35"/>
      <c r="Q184" s="2"/>
      <c r="R184" s="35"/>
    </row>
    <row r="185" spans="1:18" x14ac:dyDescent="0.2">
      <c r="B185" s="2" t="s">
        <v>49</v>
      </c>
      <c r="C185" s="26" t="e">
        <f>C184/(C187+(C183/(COS(ATAN(C188/1))))+(C183/(COS(ATAN(C189/1)))))</f>
        <v>#DIV/0!</v>
      </c>
      <c r="D185" s="2" t="s">
        <v>50</v>
      </c>
      <c r="E185" s="35"/>
      <c r="N185" s="35"/>
      <c r="R185" s="44"/>
    </row>
    <row r="186" spans="1:18" x14ac:dyDescent="0.2">
      <c r="B186" s="2" t="s">
        <v>166</v>
      </c>
      <c r="C186" s="26">
        <f>C25</f>
        <v>0</v>
      </c>
      <c r="D186" s="2" t="s">
        <v>51</v>
      </c>
      <c r="R186" s="35"/>
    </row>
    <row r="187" spans="1:18" ht="12.75" customHeight="1" x14ac:dyDescent="0.2">
      <c r="B187" t="s">
        <v>54</v>
      </c>
      <c r="C187" s="43">
        <f>D94</f>
        <v>0</v>
      </c>
      <c r="D187" s="2" t="s">
        <v>76</v>
      </c>
      <c r="E187" s="35"/>
      <c r="F187" s="2"/>
      <c r="G187" s="2"/>
      <c r="H187" s="2"/>
      <c r="I187" s="2"/>
      <c r="J187" s="2"/>
      <c r="N187" s="38"/>
      <c r="R187" s="26"/>
    </row>
    <row r="188" spans="1:18" ht="15.75" x14ac:dyDescent="0.3">
      <c r="B188" s="2" t="s">
        <v>56</v>
      </c>
      <c r="C188" s="43">
        <f>D95</f>
        <v>0</v>
      </c>
      <c r="D188" t="s">
        <v>57</v>
      </c>
      <c r="F188" s="2"/>
      <c r="G188" s="2"/>
      <c r="H188" s="2"/>
      <c r="I188" s="2"/>
      <c r="J188" s="2"/>
    </row>
    <row r="189" spans="1:18" ht="15.75" x14ac:dyDescent="0.3">
      <c r="B189" s="2" t="s">
        <v>58</v>
      </c>
      <c r="C189" s="43">
        <f>D96</f>
        <v>0</v>
      </c>
      <c r="D189" t="s">
        <v>57</v>
      </c>
      <c r="F189" s="2"/>
      <c r="G189" s="2"/>
      <c r="H189" s="2"/>
      <c r="I189" s="2"/>
      <c r="J189" s="2"/>
      <c r="N189" s="35"/>
      <c r="O189" s="2"/>
    </row>
    <row r="191" spans="1:18" ht="15.75" customHeight="1" x14ac:dyDescent="0.3">
      <c r="B191" s="2" t="s">
        <v>161</v>
      </c>
      <c r="C191" s="53" t="e">
        <f>(1.49*C184*(C185^(2/3))*(C186^0.5))/C182</f>
        <v>#DIV/0!</v>
      </c>
      <c r="D191" s="84" t="s">
        <v>167</v>
      </c>
      <c r="E191" s="85"/>
      <c r="F191" s="85"/>
      <c r="G191" s="85"/>
      <c r="H191" s="85"/>
      <c r="I191" s="62"/>
      <c r="J191" s="62"/>
    </row>
    <row r="192" spans="1:18" x14ac:dyDescent="0.2">
      <c r="D192" s="85"/>
      <c r="E192" s="85"/>
      <c r="F192" s="85"/>
      <c r="G192" s="85"/>
      <c r="H192" s="85"/>
      <c r="I192" s="62"/>
      <c r="J192" s="62"/>
    </row>
    <row r="193" spans="1:11" x14ac:dyDescent="0.2">
      <c r="D193" s="85"/>
      <c r="E193" s="85"/>
      <c r="F193" s="85"/>
      <c r="G193" s="85"/>
      <c r="H193" s="85"/>
    </row>
    <row r="194" spans="1:11" ht="15.75" x14ac:dyDescent="0.3">
      <c r="A194" s="1" t="s">
        <v>168</v>
      </c>
      <c r="B194" s="2" t="s">
        <v>169</v>
      </c>
      <c r="C194" s="54">
        <f>1+C183</f>
        <v>1</v>
      </c>
      <c r="D194" s="84" t="s">
        <v>170</v>
      </c>
      <c r="E194" s="84"/>
      <c r="F194" s="84"/>
      <c r="G194" s="84"/>
      <c r="H194" s="84"/>
      <c r="I194" s="84"/>
      <c r="J194" s="84"/>
      <c r="K194" s="84"/>
    </row>
    <row r="195" spans="1:11" x14ac:dyDescent="0.2">
      <c r="D195" s="84"/>
      <c r="E195" s="84"/>
      <c r="F195" s="84"/>
      <c r="G195" s="84"/>
      <c r="H195" s="84"/>
      <c r="I195" s="84"/>
      <c r="J195" s="84"/>
      <c r="K195" s="84"/>
    </row>
    <row r="196" spans="1:11" ht="13.5" thickBot="1" x14ac:dyDescent="0.25">
      <c r="E196" s="35"/>
    </row>
    <row r="197" spans="1:11" ht="12.75" customHeight="1" thickBot="1" x14ac:dyDescent="0.25">
      <c r="B197" s="92" t="s">
        <v>171</v>
      </c>
      <c r="C197" s="93"/>
      <c r="D197" s="93"/>
      <c r="E197" s="93"/>
      <c r="F197" s="94"/>
      <c r="G197" s="62"/>
      <c r="H197" s="62"/>
      <c r="I197" s="62"/>
      <c r="J197" s="62"/>
    </row>
    <row r="198" spans="1:11" x14ac:dyDescent="0.2">
      <c r="B198" s="95" t="s">
        <v>172</v>
      </c>
      <c r="C198" s="96"/>
      <c r="D198" s="96"/>
      <c r="E198" s="24" t="e">
        <f>C168</f>
        <v>#DIV/0!</v>
      </c>
      <c r="F198" s="46" t="s">
        <v>82</v>
      </c>
      <c r="G198" s="59" t="e">
        <f>IF(AND(E198&lt;100,E198=C168),"&lt;----Note minimum swale length = 100 ft",IF(E198=C168,"","&lt;----Swale length was manually changed"))</f>
        <v>#DIV/0!</v>
      </c>
      <c r="H198" s="59"/>
      <c r="I198" s="62"/>
      <c r="J198" s="62"/>
    </row>
    <row r="199" spans="1:11" ht="12.75" customHeight="1" x14ac:dyDescent="0.2">
      <c r="B199" s="79" t="s">
        <v>173</v>
      </c>
      <c r="C199" s="80"/>
      <c r="D199" s="80"/>
      <c r="E199" s="47">
        <f>D94</f>
        <v>0</v>
      </c>
      <c r="F199" s="48" t="s">
        <v>82</v>
      </c>
      <c r="G199" s="59" t="str">
        <f>IF(E199&lt;2,"&lt;----NOTE MINIMUM SWALE BOTTOM WIDTH = 2 FT","")</f>
        <v>&lt;----NOTE MINIMUM SWALE BOTTOM WIDTH = 2 FT</v>
      </c>
      <c r="H199" s="41"/>
      <c r="I199" s="41"/>
      <c r="J199" s="41"/>
    </row>
    <row r="200" spans="1:11" ht="12.75" customHeight="1" x14ac:dyDescent="0.2">
      <c r="B200" s="97" t="s">
        <v>174</v>
      </c>
      <c r="C200" s="98"/>
      <c r="D200" s="99"/>
      <c r="E200" s="49">
        <f>D92</f>
        <v>0</v>
      </c>
      <c r="F200" s="48" t="s">
        <v>26</v>
      </c>
      <c r="G200" s="59" t="str">
        <f>IF(E200&lt;0.015,"&lt;--See HRM Table 4-5 for minimum longitudinal slope",IF(E200&gt;0.05,"See Note 1 of HRM Table 5-4.",""))</f>
        <v>&lt;--See HRM Table 4-5 for minimum longitudinal slope</v>
      </c>
      <c r="H200" s="41"/>
      <c r="I200" s="41"/>
      <c r="J200" s="41"/>
    </row>
    <row r="201" spans="1:11" ht="18.75" x14ac:dyDescent="0.3">
      <c r="B201" s="100" t="s">
        <v>175</v>
      </c>
      <c r="C201" s="101"/>
      <c r="D201" s="101"/>
      <c r="E201" s="47">
        <f>C188</f>
        <v>0</v>
      </c>
      <c r="F201" s="48"/>
      <c r="G201" s="41"/>
      <c r="H201" s="41"/>
      <c r="I201" s="41"/>
      <c r="J201" s="41"/>
    </row>
    <row r="202" spans="1:11" ht="18.75" x14ac:dyDescent="0.3">
      <c r="B202" s="100" t="s">
        <v>176</v>
      </c>
      <c r="C202" s="101"/>
      <c r="D202" s="101"/>
      <c r="E202" s="47">
        <f>C189</f>
        <v>0</v>
      </c>
      <c r="F202" s="48"/>
      <c r="G202" s="41"/>
      <c r="H202" s="41"/>
      <c r="I202" s="41"/>
      <c r="J202" s="41"/>
    </row>
    <row r="203" spans="1:11" x14ac:dyDescent="0.2">
      <c r="B203" s="79" t="s">
        <v>177</v>
      </c>
      <c r="C203" s="80"/>
      <c r="D203" s="80"/>
      <c r="E203" s="50">
        <f>D97</f>
        <v>0</v>
      </c>
      <c r="F203" s="48" t="s">
        <v>82</v>
      </c>
    </row>
    <row r="204" spans="1:11" ht="13.5" thickBot="1" x14ac:dyDescent="0.25">
      <c r="B204" s="102" t="str">
        <f>IF(E20="online","Swale Depth (includes 1 ft Freeboard)","Swale Depth = WQ Depth for offline swales")</f>
        <v>Swale Depth (includes 1 ft Freeboard)</v>
      </c>
      <c r="C204" s="103"/>
      <c r="D204" s="103"/>
      <c r="E204" s="25">
        <f>IF(E20="online",C194,E203)</f>
        <v>1</v>
      </c>
      <c r="F204" s="51" t="s">
        <v>82</v>
      </c>
    </row>
    <row r="205" spans="1:11" x14ac:dyDescent="0.2">
      <c r="E205" s="31"/>
    </row>
  </sheetData>
  <sheetProtection password="8E70" sheet="1"/>
  <mergeCells count="19">
    <mergeCell ref="B200:D200"/>
    <mergeCell ref="B201:D201"/>
    <mergeCell ref="B202:D202"/>
    <mergeCell ref="B203:D203"/>
    <mergeCell ref="B204:D204"/>
    <mergeCell ref="B199:D199"/>
    <mergeCell ref="D17:G17"/>
    <mergeCell ref="D29:J29"/>
    <mergeCell ref="B37:H38"/>
    <mergeCell ref="D59:H61"/>
    <mergeCell ref="C28:J28"/>
    <mergeCell ref="D79:H81"/>
    <mergeCell ref="E102:I103"/>
    <mergeCell ref="B99:J100"/>
    <mergeCell ref="D177:I179"/>
    <mergeCell ref="D191:H193"/>
    <mergeCell ref="D194:K195"/>
    <mergeCell ref="B197:F197"/>
    <mergeCell ref="B198:D198"/>
  </mergeCells>
  <conditionalFormatting sqref="B175:F175">
    <cfRule type="expression" dxfId="0" priority="1" stopIfTrue="1">
      <formula>$E$20="offline"</formula>
    </cfRule>
  </conditionalFormatting>
  <dataValidations count="4">
    <dataValidation type="list" allowBlank="1" showInputMessage="1" showErrorMessage="1" sqref="E20" xr:uid="{786C0955-053A-47B8-B8D7-BEABF65A247B}">
      <formula1>"online"</formula1>
    </dataValidation>
    <dataValidation type="list" allowBlank="1" showInputMessage="1" showErrorMessage="1" sqref="C28" xr:uid="{812F15B7-30B9-487C-B77B-3A03C6F2AD09}">
      <formula1>SoilCover</formula1>
    </dataValidation>
    <dataValidation type="list" allowBlank="1" showInputMessage="1" showErrorMessage="1" sqref="E15:E16 C173" xr:uid="{18E14F5E-14CC-4E66-9452-98E6AEABE81C}">
      <formula1>"Yes,No"</formula1>
    </dataValidation>
    <dataValidation type="list" allowBlank="1" showInputMessage="1" showErrorMessage="1" sqref="D17:G17" xr:uid="{69654120-E729-4349-A4A0-27005A0ECABD}">
      <formula1>"N/A,6-month 24 hr precip depth (in),2-year 24 hr precip depth (in)"</formula1>
    </dataValidation>
  </dataValidations>
  <printOptions horizontalCentered="1"/>
  <pageMargins left="0.25" right="0.25" top="0.25" bottom="0.75" header="0.25" footer="0.5"/>
  <pageSetup scale="53" fitToHeight="2"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10241" r:id="rId4">
          <objectPr defaultSize="0" autoPict="0" r:id="rId5">
            <anchor moveWithCells="1">
              <from>
                <xdr:col>1</xdr:col>
                <xdr:colOff>104775</xdr:colOff>
                <xdr:row>39</xdr:row>
                <xdr:rowOff>85725</xdr:rowOff>
              </from>
              <to>
                <xdr:col>2</xdr:col>
                <xdr:colOff>533400</xdr:colOff>
                <xdr:row>42</xdr:row>
                <xdr:rowOff>123825</xdr:rowOff>
              </to>
            </anchor>
          </objectPr>
        </oleObject>
      </mc:Choice>
      <mc:Fallback>
        <oleObject progId="Equation.3" shapeId="10241" r:id="rId4"/>
      </mc:Fallback>
    </mc:AlternateContent>
    <mc:AlternateContent xmlns:mc="http://schemas.openxmlformats.org/markup-compatibility/2006">
      <mc:Choice Requires="x14">
        <oleObject progId="Equation.3" shapeId="10242" r:id="rId6">
          <objectPr defaultSize="0" r:id="rId7">
            <anchor moveWithCells="1">
              <from>
                <xdr:col>4</xdr:col>
                <xdr:colOff>123825</xdr:colOff>
                <xdr:row>39</xdr:row>
                <xdr:rowOff>114300</xdr:rowOff>
              </from>
              <to>
                <xdr:col>6</xdr:col>
                <xdr:colOff>514350</xdr:colOff>
                <xdr:row>42</xdr:row>
                <xdr:rowOff>142875</xdr:rowOff>
              </to>
            </anchor>
          </objectPr>
        </oleObject>
      </mc:Choice>
      <mc:Fallback>
        <oleObject progId="Equation.3" shapeId="1024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3450-B758-4BC0-A23B-509EF164BC71}">
  <sheetPr codeName="Sheet3"/>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ContinuousInflowBioswale_Tmpt!C105</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ContinuousInflowBioswale_Tmpt!C106</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2211AFCE-180F-4F42-96D9-7BBCA9856152}">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28673"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28673" r:id="rId4"/>
      </mc:Fallback>
    </mc:AlternateContent>
    <mc:AlternateContent xmlns:mc="http://schemas.openxmlformats.org/markup-compatibility/2006">
      <mc:Choice Requires="x14">
        <oleObject progId="Equation.3" shapeId="28674"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28674" r:id="rId6"/>
      </mc:Fallback>
    </mc:AlternateContent>
    <mc:AlternateContent xmlns:mc="http://schemas.openxmlformats.org/markup-compatibility/2006">
      <mc:Choice Requires="x14">
        <oleObject progId="Equation.3" shapeId="28675"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28675" r:id="rId8"/>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4A4E-97EF-4074-B355-3B31FBAA202D}">
  <sheetPr codeName="Sheet4"/>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ContinuousInflowBioswale_Tmpt!C109</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ContinuousInflowBioswale_Tmpt!C110</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585E34A2-E601-4801-8062-A2DC157ADE46}">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37889"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37889" r:id="rId4"/>
      </mc:Fallback>
    </mc:AlternateContent>
    <mc:AlternateContent xmlns:mc="http://schemas.openxmlformats.org/markup-compatibility/2006">
      <mc:Choice Requires="x14">
        <oleObject progId="Equation.3" shapeId="37890"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37890" r:id="rId6"/>
      </mc:Fallback>
    </mc:AlternateContent>
    <mc:AlternateContent xmlns:mc="http://schemas.openxmlformats.org/markup-compatibility/2006">
      <mc:Choice Requires="x14">
        <oleObject progId="Equation.3" shapeId="37891"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37891" r:id="rId8"/>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3016-34B0-4862-8DEC-4F3C96DE35EE}">
  <sheetPr codeName="Sheet5"/>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ContinuousInflowBioswale_Tmpt!C113</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ContinuousInflowBioswale_Tmpt!C114</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D6F1D892-F908-4B78-BA98-CA951BA91ADC}">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36865"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36865" r:id="rId4"/>
      </mc:Fallback>
    </mc:AlternateContent>
    <mc:AlternateContent xmlns:mc="http://schemas.openxmlformats.org/markup-compatibility/2006">
      <mc:Choice Requires="x14">
        <oleObject progId="Equation.3" shapeId="36866"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36866" r:id="rId6"/>
      </mc:Fallback>
    </mc:AlternateContent>
    <mc:AlternateContent xmlns:mc="http://schemas.openxmlformats.org/markup-compatibility/2006">
      <mc:Choice Requires="x14">
        <oleObject progId="Equation.3" shapeId="36867"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36867" r:id="rId8"/>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6975D-52F2-4462-ABBE-FF32D79BCC05}">
  <sheetPr codeName="Sheet7"/>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ContinuousInflowBioswale_Tmpt!C117</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ContinuousInflowBioswale_Tmpt!C118</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70498FFB-8EAE-4137-8D16-B2E66DF0C1E3}">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38913"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38913" r:id="rId4"/>
      </mc:Fallback>
    </mc:AlternateContent>
    <mc:AlternateContent xmlns:mc="http://schemas.openxmlformats.org/markup-compatibility/2006">
      <mc:Choice Requires="x14">
        <oleObject progId="Equation.3" shapeId="38914"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38914" r:id="rId6"/>
      </mc:Fallback>
    </mc:AlternateContent>
    <mc:AlternateContent xmlns:mc="http://schemas.openxmlformats.org/markup-compatibility/2006">
      <mc:Choice Requires="x14">
        <oleObject progId="Equation.3" shapeId="38915"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38915" r:id="rId8"/>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FF33-C683-4F7C-9E7A-BBFEA8EF11D4}">
  <sheetPr codeName="Sheet11"/>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ContinuousInflowBioswale_Tmpt!C121</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ContinuousInflowBioswale_Tmpt!C122</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002AE408-7A54-4D71-B524-1A3F46981BD6}">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43009"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43009" r:id="rId4"/>
      </mc:Fallback>
    </mc:AlternateContent>
    <mc:AlternateContent xmlns:mc="http://schemas.openxmlformats.org/markup-compatibility/2006">
      <mc:Choice Requires="x14">
        <oleObject progId="Equation.3" shapeId="43010"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43010" r:id="rId6"/>
      </mc:Fallback>
    </mc:AlternateContent>
    <mc:AlternateContent xmlns:mc="http://schemas.openxmlformats.org/markup-compatibility/2006">
      <mc:Choice Requires="x14">
        <oleObject progId="Equation.3" shapeId="43011"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4301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8A1F-0691-4C1A-A7B0-9AF12ED59551}">
  <sheetPr codeName="Sheet9"/>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ContinuousInflowBioswale_Tmpt!C125</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ContinuousInflowBioswale_Tmpt!C126</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B4717666-8823-4246-BB97-62230FDB74A8}">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40961"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40961" r:id="rId4"/>
      </mc:Fallback>
    </mc:AlternateContent>
    <mc:AlternateContent xmlns:mc="http://schemas.openxmlformats.org/markup-compatibility/2006">
      <mc:Choice Requires="x14">
        <oleObject progId="Equation.3" shapeId="40962"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40962" r:id="rId6"/>
      </mc:Fallback>
    </mc:AlternateContent>
    <mc:AlternateContent xmlns:mc="http://schemas.openxmlformats.org/markup-compatibility/2006">
      <mc:Choice Requires="x14">
        <oleObject progId="Equation.3" shapeId="40963"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40963" r:id="rId8"/>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AE96-6CE4-4E26-8A02-77F1E08F7210}">
  <sheetPr codeName="Sheet10"/>
  <dimension ref="A1:I46"/>
  <sheetViews>
    <sheetView zoomScaleNormal="100" workbookViewId="0">
      <selection activeCell="G25" sqref="G25"/>
    </sheetView>
  </sheetViews>
  <sheetFormatPr defaultRowHeight="12.75" x14ac:dyDescent="0.2"/>
  <sheetData>
    <row r="1" spans="1:9" ht="14.25" x14ac:dyDescent="0.25">
      <c r="A1" s="1" t="s">
        <v>178</v>
      </c>
      <c r="B1" s="26"/>
    </row>
    <row r="2" spans="1:9" x14ac:dyDescent="0.2">
      <c r="B2" s="26"/>
    </row>
    <row r="3" spans="1:9" ht="15.75" x14ac:dyDescent="0.3">
      <c r="A3" t="s">
        <v>179</v>
      </c>
      <c r="B3" s="35">
        <f>ContinuousInflowBioswale_Tmpt!C129</f>
        <v>0</v>
      </c>
      <c r="C3" t="str">
        <f>IF(ContinuousInflowBioswale_Tmpt!E15="YES","Qwq from SBUH","Qwq determined from MGSFlood as per HRM")</f>
        <v>Qwq determined from MGSFlood as per HRM</v>
      </c>
    </row>
    <row r="4" spans="1:9" x14ac:dyDescent="0.2">
      <c r="A4" t="str">
        <f>IF(OR(ContinuousInflowBioswale_Tmpt!E15="YES",ContinuousInflowBioswale_Tmpt!E15=""),"","k**")</f>
        <v/>
      </c>
      <c r="B4" s="35" t="str">
        <f>IF(OR(ContinuousInflowBioswale_Tmpt!E15="YES",ContinuousInflowBioswale_Tmpt!E15=""),"",IF(ContinuousInflowBioswale_Tmpt!D17="2-year 24 hr precip depth (in)",(1.41*ContinuousInflowBioswale_Tmpt!C17*0.72)-0.052,(1.41*ContinuousInflowBioswale_Tmpt!C17)-0.052))</f>
        <v/>
      </c>
      <c r="C4" t="str">
        <f>IF(OR(ContinuousInflowBioswale_Tmpt!E15="YES",ContinuousInflowBioswale_Tmpt!E15=""),"",IF(ContinuousInflowBioswale_Tmpt!D17="2-yr 24 hr precip depth (in)","k=1.41(P72%, 2-yr)-0.052","k=1"))</f>
        <v/>
      </c>
    </row>
    <row r="5" spans="1:9" ht="15.75" x14ac:dyDescent="0.3">
      <c r="A5" t="s">
        <v>116</v>
      </c>
      <c r="B5" s="35">
        <f>IF(OR(ContinuousInflowBioswale_Tmpt!E15="YES",ContinuousInflowBioswale_Tmpt!E15=""),B3,B4*B3)</f>
        <v>0</v>
      </c>
      <c r="C5" t="s">
        <v>180</v>
      </c>
    </row>
    <row r="6" spans="1:9" x14ac:dyDescent="0.2">
      <c r="B6" s="26"/>
    </row>
    <row r="7" spans="1:9" ht="12.75" customHeight="1" x14ac:dyDescent="0.2">
      <c r="A7" s="85"/>
      <c r="B7" s="85"/>
      <c r="C7" s="85"/>
      <c r="D7" s="85"/>
      <c r="E7" s="85"/>
      <c r="F7" s="85"/>
      <c r="G7" s="85"/>
      <c r="H7" s="85"/>
      <c r="I7" s="85"/>
    </row>
    <row r="8" spans="1:9" x14ac:dyDescent="0.2">
      <c r="A8" s="85"/>
      <c r="B8" s="85"/>
      <c r="C8" s="85"/>
      <c r="D8" s="85"/>
      <c r="E8" s="85"/>
      <c r="F8" s="85"/>
      <c r="G8" s="85"/>
      <c r="H8" s="85"/>
      <c r="I8" s="85"/>
    </row>
    <row r="9" spans="1:9" x14ac:dyDescent="0.2">
      <c r="B9" s="26"/>
    </row>
    <row r="10" spans="1:9" ht="14.25" x14ac:dyDescent="0.25">
      <c r="A10" s="1" t="s">
        <v>181</v>
      </c>
      <c r="B10" s="26"/>
    </row>
    <row r="11" spans="1:9" x14ac:dyDescent="0.2">
      <c r="A11" t="s">
        <v>182</v>
      </c>
      <c r="B11" s="26"/>
    </row>
    <row r="12" spans="1:9" x14ac:dyDescent="0.2">
      <c r="B12" s="26"/>
    </row>
    <row r="13" spans="1:9" x14ac:dyDescent="0.2">
      <c r="B13" s="26"/>
    </row>
    <row r="14" spans="1:9" x14ac:dyDescent="0.2">
      <c r="B14" s="26"/>
    </row>
    <row r="15" spans="1:9" x14ac:dyDescent="0.2">
      <c r="B15" s="26"/>
    </row>
    <row r="16" spans="1:9" x14ac:dyDescent="0.2">
      <c r="B16" s="26"/>
    </row>
    <row r="17" spans="1:9" ht="15.75" x14ac:dyDescent="0.3">
      <c r="A17" t="s">
        <v>116</v>
      </c>
      <c r="B17" s="26">
        <f>B5</f>
        <v>0</v>
      </c>
      <c r="C17" t="s">
        <v>180</v>
      </c>
    </row>
    <row r="18" spans="1:9" x14ac:dyDescent="0.2">
      <c r="A18" t="s">
        <v>52</v>
      </c>
      <c r="B18" s="57">
        <v>0.35</v>
      </c>
      <c r="C18" s="104" t="s">
        <v>183</v>
      </c>
      <c r="D18" s="104"/>
      <c r="E18" s="104"/>
      <c r="F18" s="104"/>
      <c r="G18" s="104"/>
      <c r="H18" s="104"/>
      <c r="I18" s="104"/>
    </row>
    <row r="19" spans="1:9" x14ac:dyDescent="0.2">
      <c r="A19" t="s">
        <v>35</v>
      </c>
      <c r="B19" s="26">
        <f>ContinuousInflowBioswale_Tmpt!C102</f>
        <v>0</v>
      </c>
      <c r="C19" s="85" t="s">
        <v>184</v>
      </c>
      <c r="D19" s="85"/>
      <c r="E19" s="85"/>
      <c r="F19" s="85"/>
      <c r="G19" s="85"/>
      <c r="H19" s="85"/>
      <c r="I19" s="85"/>
    </row>
    <row r="20" spans="1:9" x14ac:dyDescent="0.2">
      <c r="B20" s="26"/>
      <c r="C20" s="85"/>
      <c r="D20" s="85"/>
      <c r="E20" s="85"/>
      <c r="F20" s="85"/>
      <c r="G20" s="85"/>
      <c r="H20" s="85"/>
      <c r="I20" s="85"/>
    </row>
    <row r="21" spans="1:9" ht="15.75" x14ac:dyDescent="0.3">
      <c r="A21" t="s">
        <v>87</v>
      </c>
      <c r="B21" s="26">
        <f>ContinuousInflowBioswale_Tmpt!C130</f>
        <v>0</v>
      </c>
      <c r="C21" t="s">
        <v>88</v>
      </c>
    </row>
    <row r="22" spans="1:9" ht="15.75" x14ac:dyDescent="0.3">
      <c r="A22" s="2" t="s">
        <v>185</v>
      </c>
      <c r="B22" s="26" t="e">
        <f>1/ContinuousInflowBioswale_Tmpt!D95</f>
        <v>#DIV/0!</v>
      </c>
      <c r="C22" t="s">
        <v>186</v>
      </c>
    </row>
    <row r="23" spans="1:9" x14ac:dyDescent="0.2">
      <c r="B23" s="26"/>
    </row>
    <row r="24" spans="1:9" x14ac:dyDescent="0.2">
      <c r="A24" t="s">
        <v>187</v>
      </c>
      <c r="B24" s="26"/>
    </row>
    <row r="25" spans="1:9" x14ac:dyDescent="0.2">
      <c r="B25" s="26"/>
    </row>
    <row r="26" spans="1:9" x14ac:dyDescent="0.2">
      <c r="B26" s="26"/>
    </row>
    <row r="27" spans="1:9" x14ac:dyDescent="0.2">
      <c r="B27" s="26"/>
    </row>
    <row r="28" spans="1:9" x14ac:dyDescent="0.2">
      <c r="B28" s="26"/>
    </row>
    <row r="29" spans="1:9" x14ac:dyDescent="0.2">
      <c r="B29" s="26"/>
    </row>
    <row r="30" spans="1:9" x14ac:dyDescent="0.2">
      <c r="B30" s="26"/>
    </row>
    <row r="31" spans="1:9" x14ac:dyDescent="0.2">
      <c r="B31" s="26"/>
    </row>
    <row r="32" spans="1:9" ht="15.75" x14ac:dyDescent="0.3">
      <c r="A32" t="s">
        <v>188</v>
      </c>
      <c r="B32" s="26" t="e">
        <f>((B18*B17)/(1.49*B21*(B22^0.5)))^(3/5)</f>
        <v>#DIV/0!</v>
      </c>
      <c r="C32" t="s">
        <v>189</v>
      </c>
    </row>
    <row r="33" spans="1:3" x14ac:dyDescent="0.2">
      <c r="B33" s="26"/>
    </row>
    <row r="34" spans="1:3" x14ac:dyDescent="0.2">
      <c r="A34" s="1" t="s">
        <v>190</v>
      </c>
      <c r="B34" s="26"/>
    </row>
    <row r="35" spans="1:3" x14ac:dyDescent="0.2">
      <c r="B35" s="61" t="s">
        <v>191</v>
      </c>
    </row>
    <row r="36" spans="1:3" x14ac:dyDescent="0.2">
      <c r="B36" s="26"/>
    </row>
    <row r="37" spans="1:3" x14ac:dyDescent="0.2">
      <c r="B37" s="26"/>
    </row>
    <row r="38" spans="1:3" x14ac:dyDescent="0.2">
      <c r="B38" s="26"/>
    </row>
    <row r="39" spans="1:3" x14ac:dyDescent="0.2">
      <c r="B39" s="26"/>
    </row>
    <row r="40" spans="1:3" ht="15.75" x14ac:dyDescent="0.3">
      <c r="A40" t="s">
        <v>116</v>
      </c>
      <c r="B40" s="26">
        <f>B17</f>
        <v>0</v>
      </c>
      <c r="C40" t="s">
        <v>180</v>
      </c>
    </row>
    <row r="41" spans="1:3" ht="15.75" x14ac:dyDescent="0.3">
      <c r="A41" t="s">
        <v>87</v>
      </c>
      <c r="B41" s="26">
        <f>B21</f>
        <v>0</v>
      </c>
      <c r="C41" t="s">
        <v>88</v>
      </c>
    </row>
    <row r="42" spans="1:3" ht="15.75" x14ac:dyDescent="0.3">
      <c r="A42" t="s">
        <v>188</v>
      </c>
      <c r="B42" s="26" t="e">
        <f>B32</f>
        <v>#DIV/0!</v>
      </c>
      <c r="C42" t="s">
        <v>189</v>
      </c>
    </row>
    <row r="43" spans="1:3" ht="15.75" x14ac:dyDescent="0.3">
      <c r="A43" t="s">
        <v>192</v>
      </c>
      <c r="B43" s="26" t="e">
        <f>B40/(B41*B42)</f>
        <v>#DIV/0!</v>
      </c>
      <c r="C43" t="s">
        <v>193</v>
      </c>
    </row>
    <row r="45" spans="1:3" ht="14.25" x14ac:dyDescent="0.25">
      <c r="A45" s="1" t="s">
        <v>194</v>
      </c>
    </row>
    <row r="46" spans="1:3" ht="15.75" x14ac:dyDescent="0.3">
      <c r="A46" t="s">
        <v>117</v>
      </c>
      <c r="B46" t="e">
        <f>B41/B43</f>
        <v>#DIV/0!</v>
      </c>
      <c r="C46" t="s">
        <v>195</v>
      </c>
    </row>
  </sheetData>
  <sheetProtection password="8E70" sheet="1"/>
  <mergeCells count="3">
    <mergeCell ref="A7:I8"/>
    <mergeCell ref="C18:I18"/>
    <mergeCell ref="C19:I20"/>
  </mergeCells>
  <dataValidations count="1">
    <dataValidation type="list" allowBlank="1" showInputMessage="1" showErrorMessage="1" sqref="B18" xr:uid="{90781253-E993-4CAB-B7B4-41C9AC573098}">
      <formula1>"0.2,0.35,0.40,0.55"</formula1>
    </dataValidation>
  </dataValidations>
  <printOptions horizontalCentered="1" verticalCentered="1"/>
  <pageMargins left="0.75" right="0.75" top="0.75" bottom="0.75" header="0.5" footer="0.5"/>
  <pageSetup orientation="portrait" r:id="rId1"/>
  <headerFooter alignWithMargins="0">
    <oddFooter>&amp;L&amp;F&amp;R&amp;D  &amp;T  Version 2.1</oddFooter>
  </headerFooter>
  <drawing r:id="rId2"/>
  <legacyDrawing r:id="rId3"/>
  <oleObjects>
    <mc:AlternateContent xmlns:mc="http://schemas.openxmlformats.org/markup-compatibility/2006">
      <mc:Choice Requires="x14">
        <oleObject progId="Equation.3" shapeId="41985" r:id="rId4">
          <objectPr defaultSize="0" autoPict="0" r:id="rId5">
            <anchor moveWithCells="1">
              <from>
                <xdr:col>0</xdr:col>
                <xdr:colOff>0</xdr:colOff>
                <xdr:row>11</xdr:row>
                <xdr:rowOff>19050</xdr:rowOff>
              </from>
              <to>
                <xdr:col>2</xdr:col>
                <xdr:colOff>523875</xdr:colOff>
                <xdr:row>14</xdr:row>
                <xdr:rowOff>95250</xdr:rowOff>
              </to>
            </anchor>
          </objectPr>
        </oleObject>
      </mc:Choice>
      <mc:Fallback>
        <oleObject progId="Equation.3" shapeId="41985" r:id="rId4"/>
      </mc:Fallback>
    </mc:AlternateContent>
    <mc:AlternateContent xmlns:mc="http://schemas.openxmlformats.org/markup-compatibility/2006">
      <mc:Choice Requires="x14">
        <oleObject progId="Equation.3" shapeId="41986" r:id="rId6">
          <objectPr defaultSize="0" autoPict="0" r:id="rId7">
            <anchor moveWithCells="1">
              <from>
                <xdr:col>0</xdr:col>
                <xdr:colOff>76200</xdr:colOff>
                <xdr:row>24</xdr:row>
                <xdr:rowOff>9525</xdr:rowOff>
              </from>
              <to>
                <xdr:col>2</xdr:col>
                <xdr:colOff>428625</xdr:colOff>
                <xdr:row>30</xdr:row>
                <xdr:rowOff>133350</xdr:rowOff>
              </to>
            </anchor>
          </objectPr>
        </oleObject>
      </mc:Choice>
      <mc:Fallback>
        <oleObject progId="Equation.3" shapeId="41986" r:id="rId6"/>
      </mc:Fallback>
    </mc:AlternateContent>
    <mc:AlternateContent xmlns:mc="http://schemas.openxmlformats.org/markup-compatibility/2006">
      <mc:Choice Requires="x14">
        <oleObject progId="Equation.3" shapeId="41987" r:id="rId8">
          <objectPr defaultSize="0" autoPict="0" r:id="rId9">
            <anchor moveWithCells="1">
              <from>
                <xdr:col>0</xdr:col>
                <xdr:colOff>76200</xdr:colOff>
                <xdr:row>35</xdr:row>
                <xdr:rowOff>0</xdr:rowOff>
              </from>
              <to>
                <xdr:col>2</xdr:col>
                <xdr:colOff>152400</xdr:colOff>
                <xdr:row>38</xdr:row>
                <xdr:rowOff>104775</xdr:rowOff>
              </to>
            </anchor>
          </objectPr>
        </oleObject>
      </mc:Choice>
      <mc:Fallback>
        <oleObject progId="Equation.3" shapeId="41987"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Instructions</vt:lpstr>
      <vt:lpstr>ContinuousInflowBioswale_Tmpt</vt:lpstr>
      <vt:lpstr>Area1</vt:lpstr>
      <vt:lpstr>Area2</vt:lpstr>
      <vt:lpstr>Area3</vt:lpstr>
      <vt:lpstr>Area4</vt:lpstr>
      <vt:lpstr>Area5</vt:lpstr>
      <vt:lpstr>Area6</vt:lpstr>
      <vt:lpstr>Area7</vt:lpstr>
      <vt:lpstr>Area8</vt:lpstr>
      <vt:lpstr>Tables</vt:lpstr>
      <vt:lpstr>onlineoffline</vt:lpstr>
      <vt:lpstr>ContinuousInflowBioswale_Tmpt!Print_Area</vt:lpstr>
      <vt:lpstr>SoilCover</vt:lpstr>
    </vt:vector>
  </TitlesOfParts>
  <Manager/>
  <Company>WSDOT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Continuous inflow biofiltration swale design</dc:title>
  <dc:subject>Continuous inflow biofiltration swale design</dc:subject>
  <dc:creator>WSDOT Highway Runoff</dc:creator>
  <cp:keywords/>
  <dc:description/>
  <cp:lastModifiedBy>Williams, Stephanie</cp:lastModifiedBy>
  <cp:revision/>
  <dcterms:created xsi:type="dcterms:W3CDTF">2008-08-21T17:28:12Z</dcterms:created>
  <dcterms:modified xsi:type="dcterms:W3CDTF">2025-04-07T16:55:42Z</dcterms:modified>
  <cp:category/>
  <cp:contentStatus/>
</cp:coreProperties>
</file>